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155" tabRatio="859" activeTab="1"/>
  </bookViews>
  <sheets>
    <sheet name="quarterly Progress report" sheetId="1" r:id="rId1"/>
    <sheet name="Summary Physical-no Fill" sheetId="4" r:id="rId2"/>
    <sheet name="Summary Financial" sheetId="8" r:id="rId3"/>
    <sheet name="Quaterly Fin.Review Details" sheetId="9" r:id="rId4"/>
  </sheets>
  <externalReferences>
    <externalReference r:id="rId5"/>
  </externalReferences>
  <definedNames>
    <definedName name="_xlnm.Print_Area" localSheetId="0">'quarterly Progress report'!$A$1:$J$104</definedName>
    <definedName name="_xlnm.Print_Area" localSheetId="3">'Quaterly Fin.Review Details'!$A$1:$J$59</definedName>
    <definedName name="_xlnm.Print_Area" localSheetId="1">'Summary Physical-no Fill'!$A$1:$F$19</definedName>
    <definedName name="_xlnm.Print_Titles" localSheetId="0">'quarterly Progress report'!$9:$9</definedName>
  </definedNames>
  <calcPr calcId="124519"/>
</workbook>
</file>

<file path=xl/calcChain.xml><?xml version="1.0" encoding="utf-8"?>
<calcChain xmlns="http://schemas.openxmlformats.org/spreadsheetml/2006/main">
  <c r="D57" i="9"/>
  <c r="E57" s="1"/>
  <c r="D56"/>
  <c r="E56" s="1"/>
  <c r="D55"/>
  <c r="D54"/>
  <c r="F54" s="1"/>
  <c r="H54" s="1"/>
  <c r="D53"/>
  <c r="D47"/>
  <c r="D44" s="1"/>
  <c r="E44" s="1"/>
  <c r="D36"/>
  <c r="E36" s="1"/>
  <c r="D35"/>
  <c r="E35" s="1"/>
  <c r="D33"/>
  <c r="D32"/>
  <c r="F32" s="1"/>
  <c r="D28"/>
  <c r="E28" s="1"/>
  <c r="D27"/>
  <c r="D22"/>
  <c r="E22" s="1"/>
  <c r="D21"/>
  <c r="D20"/>
  <c r="E20" s="1"/>
  <c r="D19"/>
  <c r="D13"/>
  <c r="E13" s="1"/>
  <c r="D11"/>
  <c r="F11" s="1"/>
  <c r="D7"/>
  <c r="F7" s="1"/>
  <c r="B8" i="8"/>
  <c r="D8" s="1"/>
  <c r="F8" s="1"/>
  <c r="I8" s="1"/>
  <c r="C4"/>
  <c r="C9" s="1"/>
  <c r="J58" i="9"/>
  <c r="H58"/>
  <c r="C57"/>
  <c r="F57" s="1"/>
  <c r="C56"/>
  <c r="C55"/>
  <c r="E54"/>
  <c r="C54"/>
  <c r="E53"/>
  <c r="C53"/>
  <c r="F53" s="1"/>
  <c r="G52"/>
  <c r="J51"/>
  <c r="H51"/>
  <c r="J50"/>
  <c r="I50"/>
  <c r="H50"/>
  <c r="F50"/>
  <c r="E49"/>
  <c r="C49"/>
  <c r="F49" s="1"/>
  <c r="H48"/>
  <c r="F48"/>
  <c r="I48" s="1"/>
  <c r="J48" s="1"/>
  <c r="E48"/>
  <c r="D48"/>
  <c r="J46"/>
  <c r="I46"/>
  <c r="H46"/>
  <c r="F46"/>
  <c r="E45"/>
  <c r="D45"/>
  <c r="F45" s="1"/>
  <c r="G44"/>
  <c r="C44"/>
  <c r="J43"/>
  <c r="H43"/>
  <c r="J42"/>
  <c r="I42"/>
  <c r="H42"/>
  <c r="F42"/>
  <c r="E41"/>
  <c r="C41"/>
  <c r="F41" s="1"/>
  <c r="D40"/>
  <c r="C40"/>
  <c r="F40" s="1"/>
  <c r="F39"/>
  <c r="H39" s="1"/>
  <c r="E39"/>
  <c r="C39"/>
  <c r="G38"/>
  <c r="D38"/>
  <c r="J37"/>
  <c r="J34"/>
  <c r="H34"/>
  <c r="G31"/>
  <c r="F33"/>
  <c r="H33" s="1"/>
  <c r="E33"/>
  <c r="C31"/>
  <c r="J30"/>
  <c r="H30"/>
  <c r="J29"/>
  <c r="I29"/>
  <c r="H29"/>
  <c r="F29"/>
  <c r="C28"/>
  <c r="C27"/>
  <c r="F26"/>
  <c r="H26" s="1"/>
  <c r="E26"/>
  <c r="H25"/>
  <c r="F25"/>
  <c r="I25" s="1"/>
  <c r="J25" s="1"/>
  <c r="E25"/>
  <c r="I24"/>
  <c r="J24" s="1"/>
  <c r="H24"/>
  <c r="F24"/>
  <c r="E24"/>
  <c r="E23"/>
  <c r="D23"/>
  <c r="C23"/>
  <c r="F23" s="1"/>
  <c r="C22"/>
  <c r="C21"/>
  <c r="C20"/>
  <c r="E19"/>
  <c r="F19"/>
  <c r="H18"/>
  <c r="F18"/>
  <c r="I18" s="1"/>
  <c r="J18" s="1"/>
  <c r="E18"/>
  <c r="I17"/>
  <c r="J17" s="1"/>
  <c r="H17"/>
  <c r="F17"/>
  <c r="E17"/>
  <c r="G16"/>
  <c r="J15"/>
  <c r="H15"/>
  <c r="F15"/>
  <c r="J14"/>
  <c r="H14"/>
  <c r="F14"/>
  <c r="I14" s="1"/>
  <c r="F13"/>
  <c r="I13" s="1"/>
  <c r="J13" s="1"/>
  <c r="J12"/>
  <c r="I12"/>
  <c r="H12"/>
  <c r="F12"/>
  <c r="G10"/>
  <c r="C10"/>
  <c r="J9"/>
  <c r="H9"/>
  <c r="F9"/>
  <c r="J8"/>
  <c r="I8"/>
  <c r="H8"/>
  <c r="F8"/>
  <c r="J6"/>
  <c r="I6"/>
  <c r="H6"/>
  <c r="F6"/>
  <c r="E6"/>
  <c r="F5"/>
  <c r="H5" s="1"/>
  <c r="E5"/>
  <c r="H4"/>
  <c r="F4"/>
  <c r="I4" s="1"/>
  <c r="E4"/>
  <c r="G3"/>
  <c r="C3"/>
  <c r="E9" i="8"/>
  <c r="G9"/>
  <c r="D7"/>
  <c r="F7" s="1"/>
  <c r="I7" s="1"/>
  <c r="I6"/>
  <c r="F6"/>
  <c r="D6"/>
  <c r="F5"/>
  <c r="I5" s="1"/>
  <c r="D5"/>
  <c r="H9"/>
  <c r="B4"/>
  <c r="F55" i="9" l="1"/>
  <c r="I55" s="1"/>
  <c r="J55" s="1"/>
  <c r="D52"/>
  <c r="F47"/>
  <c r="F36"/>
  <c r="F35"/>
  <c r="H35" s="1"/>
  <c r="E32"/>
  <c r="F20"/>
  <c r="H20" s="1"/>
  <c r="H13"/>
  <c r="E11"/>
  <c r="H7"/>
  <c r="I7"/>
  <c r="J7" s="1"/>
  <c r="D3"/>
  <c r="B9" i="8"/>
  <c r="J4" i="9"/>
  <c r="I3"/>
  <c r="J3" s="1"/>
  <c r="I23"/>
  <c r="J23" s="1"/>
  <c r="H23"/>
  <c r="H49"/>
  <c r="I49"/>
  <c r="J49" s="1"/>
  <c r="H32"/>
  <c r="I32"/>
  <c r="I41"/>
  <c r="J41" s="1"/>
  <c r="H41"/>
  <c r="I11"/>
  <c r="H11"/>
  <c r="F10"/>
  <c r="H10" s="1"/>
  <c r="I19"/>
  <c r="J19" s="1"/>
  <c r="H19"/>
  <c r="H45"/>
  <c r="I45"/>
  <c r="H53"/>
  <c r="I53"/>
  <c r="I40"/>
  <c r="H40"/>
  <c r="H55"/>
  <c r="H57"/>
  <c r="I57"/>
  <c r="J57" s="1"/>
  <c r="G59"/>
  <c r="F21"/>
  <c r="F27"/>
  <c r="C52"/>
  <c r="I5"/>
  <c r="J5" s="1"/>
  <c r="C16"/>
  <c r="I20"/>
  <c r="J20" s="1"/>
  <c r="E21"/>
  <c r="F22"/>
  <c r="I26"/>
  <c r="J26" s="1"/>
  <c r="E27"/>
  <c r="F28"/>
  <c r="I33"/>
  <c r="J33" s="1"/>
  <c r="C38"/>
  <c r="I39"/>
  <c r="E40"/>
  <c r="J40"/>
  <c r="I54"/>
  <c r="J54" s="1"/>
  <c r="E55"/>
  <c r="F56"/>
  <c r="D16"/>
  <c r="F3"/>
  <c r="H3" s="1"/>
  <c r="D10"/>
  <c r="D31"/>
  <c r="F38"/>
  <c r="H38" s="1"/>
  <c r="D4" i="8"/>
  <c r="F52" i="9" l="1"/>
  <c r="H52" s="1"/>
  <c r="I47"/>
  <c r="J47" s="1"/>
  <c r="H47"/>
  <c r="F44"/>
  <c r="H44" s="1"/>
  <c r="I36"/>
  <c r="J36" s="1"/>
  <c r="H36"/>
  <c r="F31"/>
  <c r="H31" s="1"/>
  <c r="I35"/>
  <c r="J35" s="1"/>
  <c r="D59"/>
  <c r="I21"/>
  <c r="J21" s="1"/>
  <c r="H21"/>
  <c r="E38"/>
  <c r="I27"/>
  <c r="J27" s="1"/>
  <c r="H27"/>
  <c r="J39"/>
  <c r="I38"/>
  <c r="J38" s="1"/>
  <c r="C59"/>
  <c r="I22"/>
  <c r="J22" s="1"/>
  <c r="H22"/>
  <c r="J32"/>
  <c r="H56"/>
  <c r="I56"/>
  <c r="J56" s="1"/>
  <c r="J53"/>
  <c r="H28"/>
  <c r="I28"/>
  <c r="J28" s="1"/>
  <c r="J45"/>
  <c r="I10"/>
  <c r="J10" s="1"/>
  <c r="J11"/>
  <c r="F16"/>
  <c r="H16" s="1"/>
  <c r="D9" i="8"/>
  <c r="F4"/>
  <c r="I52" i="9" l="1"/>
  <c r="J52" s="1"/>
  <c r="I44"/>
  <c r="J44" s="1"/>
  <c r="I31"/>
  <c r="J31" s="1"/>
  <c r="I16"/>
  <c r="J16" s="1"/>
  <c r="H59"/>
  <c r="F59"/>
  <c r="F9" i="8"/>
  <c r="I4"/>
  <c r="I9" s="1"/>
  <c r="I59" i="9" l="1"/>
  <c r="E94" i="1" l="1"/>
  <c r="E100"/>
  <c r="F18" i="4" l="1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I104" i="1"/>
  <c r="H104"/>
  <c r="J104" s="1"/>
  <c r="H103"/>
  <c r="I103" s="1"/>
  <c r="J100"/>
  <c r="H100"/>
  <c r="I100" s="1"/>
  <c r="H99"/>
  <c r="J99" s="1"/>
  <c r="H98"/>
  <c r="I98" s="1"/>
  <c r="H97"/>
  <c r="J97" s="1"/>
  <c r="J94"/>
  <c r="H94"/>
  <c r="I94" s="1"/>
  <c r="H93"/>
  <c r="J93" s="1"/>
  <c r="H92"/>
  <c r="I92" s="1"/>
  <c r="I91"/>
  <c r="H91"/>
  <c r="J91" s="1"/>
  <c r="J88"/>
  <c r="H88"/>
  <c r="I88" s="1"/>
  <c r="I87"/>
  <c r="H87"/>
  <c r="J87" s="1"/>
  <c r="H86"/>
  <c r="I86" s="1"/>
  <c r="I85"/>
  <c r="H85"/>
  <c r="J85" s="1"/>
  <c r="H84"/>
  <c r="I84" s="1"/>
  <c r="J83"/>
  <c r="H83"/>
  <c r="I83" s="1"/>
  <c r="H82"/>
  <c r="I82" s="1"/>
  <c r="I81"/>
  <c r="H81"/>
  <c r="J81" s="1"/>
  <c r="J80"/>
  <c r="H80"/>
  <c r="I80" s="1"/>
  <c r="I79"/>
  <c r="H79"/>
  <c r="J79" s="1"/>
  <c r="H78"/>
  <c r="I78" s="1"/>
  <c r="H77"/>
  <c r="J77" s="1"/>
  <c r="J76"/>
  <c r="H76"/>
  <c r="I76" s="1"/>
  <c r="H75"/>
  <c r="J75" s="1"/>
  <c r="H74"/>
  <c r="I74" s="1"/>
  <c r="H71"/>
  <c r="J71" s="1"/>
  <c r="H70"/>
  <c r="I70" s="1"/>
  <c r="H69"/>
  <c r="J69" s="1"/>
  <c r="H68"/>
  <c r="I68" s="1"/>
  <c r="H67"/>
  <c r="J67" s="1"/>
  <c r="J66"/>
  <c r="H66"/>
  <c r="I66" s="1"/>
  <c r="J65"/>
  <c r="I65"/>
  <c r="H65"/>
  <c r="J64"/>
  <c r="I64"/>
  <c r="H61"/>
  <c r="I61" s="1"/>
  <c r="H60"/>
  <c r="I60" s="1"/>
  <c r="H59"/>
  <c r="J59" s="1"/>
  <c r="H58"/>
  <c r="I58" s="1"/>
  <c r="J57"/>
  <c r="I57"/>
  <c r="H57"/>
  <c r="H56"/>
  <c r="I56" s="1"/>
  <c r="I55"/>
  <c r="H55"/>
  <c r="J55" s="1"/>
  <c r="H54"/>
  <c r="I54" s="1"/>
  <c r="J53"/>
  <c r="H53"/>
  <c r="I53" s="1"/>
  <c r="H52"/>
  <c r="I52" s="1"/>
  <c r="I51"/>
  <c r="H51"/>
  <c r="J51" s="1"/>
  <c r="H50"/>
  <c r="I50" s="1"/>
  <c r="H49"/>
  <c r="J49" s="1"/>
  <c r="H48"/>
  <c r="I48" s="1"/>
  <c r="I47"/>
  <c r="H47"/>
  <c r="J47" s="1"/>
  <c r="H46"/>
  <c r="I46" s="1"/>
  <c r="H45"/>
  <c r="J45" s="1"/>
  <c r="H44"/>
  <c r="I44" s="1"/>
  <c r="I43"/>
  <c r="H43"/>
  <c r="J43" s="1"/>
  <c r="J42"/>
  <c r="H42"/>
  <c r="I42" s="1"/>
  <c r="J41"/>
  <c r="I41"/>
  <c r="H41"/>
  <c r="J40"/>
  <c r="I40"/>
  <c r="H37"/>
  <c r="I37" s="1"/>
  <c r="H36"/>
  <c r="I36" s="1"/>
  <c r="D36"/>
  <c r="J35"/>
  <c r="H35"/>
  <c r="I35" s="1"/>
  <c r="J33"/>
  <c r="I33"/>
  <c r="H33"/>
  <c r="H32"/>
  <c r="I32" s="1"/>
  <c r="I31"/>
  <c r="H31"/>
  <c r="J31" s="1"/>
  <c r="H30"/>
  <c r="I30" s="1"/>
  <c r="I29"/>
  <c r="H29"/>
  <c r="J29" s="1"/>
  <c r="H28"/>
  <c r="I28" s="1"/>
  <c r="H27"/>
  <c r="J27" s="1"/>
  <c r="J26"/>
  <c r="H26"/>
  <c r="I26" s="1"/>
  <c r="H25"/>
  <c r="J25" s="1"/>
  <c r="H24"/>
  <c r="I24" s="1"/>
  <c r="I23"/>
  <c r="H23"/>
  <c r="J23" s="1"/>
  <c r="H22"/>
  <c r="I22" s="1"/>
  <c r="J21"/>
  <c r="I21"/>
  <c r="H21"/>
  <c r="H20"/>
  <c r="I20" s="1"/>
  <c r="H19"/>
  <c r="J19" s="1"/>
  <c r="H18"/>
  <c r="I18" s="1"/>
  <c r="J17"/>
  <c r="I17"/>
  <c r="H17"/>
  <c r="H16"/>
  <c r="I16" s="1"/>
  <c r="H15"/>
  <c r="J15" s="1"/>
  <c r="H14"/>
  <c r="I14" s="1"/>
  <c r="I13"/>
  <c r="H13"/>
  <c r="J13" s="1"/>
  <c r="H12"/>
  <c r="I12" s="1"/>
  <c r="I11"/>
  <c r="H11"/>
  <c r="J11" s="1"/>
  <c r="J54" l="1"/>
  <c r="J50"/>
  <c r="I93"/>
  <c r="J46"/>
  <c r="I27"/>
  <c r="I25"/>
  <c r="I19"/>
  <c r="I15"/>
  <c r="I97"/>
  <c r="I99"/>
  <c r="J36"/>
  <c r="J30"/>
  <c r="J22"/>
  <c r="J18"/>
  <c r="J14"/>
  <c r="J84"/>
  <c r="I77"/>
  <c r="I75"/>
  <c r="I71"/>
  <c r="J70"/>
  <c r="I69"/>
  <c r="I67"/>
  <c r="J61"/>
  <c r="I59"/>
  <c r="J58"/>
  <c r="I49"/>
  <c r="I45"/>
  <c r="J37"/>
  <c r="J12"/>
  <c r="J16"/>
  <c r="J20"/>
  <c r="J24"/>
  <c r="J28"/>
  <c r="J32"/>
  <c r="J44"/>
  <c r="J48"/>
  <c r="J52"/>
  <c r="J56"/>
  <c r="J60"/>
  <c r="J68"/>
  <c r="J74"/>
  <c r="J78"/>
  <c r="J82"/>
  <c r="J86"/>
  <c r="J92"/>
  <c r="J98"/>
  <c r="J103"/>
</calcChain>
</file>

<file path=xl/comments1.xml><?xml version="1.0" encoding="utf-8"?>
<comments xmlns="http://schemas.openxmlformats.org/spreadsheetml/2006/main">
  <authors>
    <author>User4</author>
  </authors>
  <commentList>
    <comment ref="G36" authorId="0">
      <text>
        <r>
          <rPr>
            <b/>
            <sz val="9"/>
            <color indexed="81"/>
            <rFont val="Tahoma"/>
            <charset val="1"/>
          </rPr>
          <t>User4:</t>
        </r>
        <r>
          <rPr>
            <sz val="9"/>
            <color indexed="81"/>
            <rFont val="Tahoma"/>
            <charset val="1"/>
          </rPr>
          <t xml:space="preserve">
It includes area coverage by Improve Paddy,Arhar and vegetables</t>
        </r>
      </text>
    </comment>
    <comment ref="G50" authorId="0">
      <text>
        <r>
          <rPr>
            <b/>
            <sz val="9"/>
            <color indexed="81"/>
            <rFont val="Tahoma"/>
            <charset val="1"/>
          </rPr>
          <t>User4:</t>
        </r>
        <r>
          <rPr>
            <sz val="9"/>
            <color indexed="81"/>
            <rFont val="Tahoma"/>
            <charset val="1"/>
          </rPr>
          <t xml:space="preserve">
Exposure
</t>
        </r>
      </text>
    </comment>
    <comment ref="G54" authorId="0">
      <text>
        <r>
          <rPr>
            <b/>
            <sz val="9"/>
            <color indexed="81"/>
            <rFont val="Tahoma"/>
            <charset val="1"/>
          </rPr>
          <t>User4:</t>
        </r>
        <r>
          <rPr>
            <sz val="9"/>
            <color indexed="81"/>
            <rFont val="Tahoma"/>
            <charset val="1"/>
          </rPr>
          <t xml:space="preserve">
Exposure..</t>
        </r>
      </text>
    </comment>
    <comment ref="E71" authorId="0">
      <text>
        <r>
          <rPr>
            <b/>
            <sz val="9"/>
            <color indexed="81"/>
            <rFont val="Tahoma"/>
            <charset val="1"/>
          </rPr>
          <t>User4:</t>
        </r>
        <r>
          <rPr>
            <sz val="9"/>
            <color indexed="81"/>
            <rFont val="Tahoma"/>
            <charset val="1"/>
          </rPr>
          <t xml:space="preserve">
It is a target set by the implementing team to cover 60 families.( if Cluster Borewell scheme is available)</t>
        </r>
      </text>
    </comment>
    <comment ref="D75" authorId="0">
      <text>
        <r>
          <rPr>
            <b/>
            <sz val="9"/>
            <color indexed="81"/>
            <rFont val="Tahoma"/>
            <charset val="1"/>
          </rPr>
          <t>User4:</t>
        </r>
        <r>
          <rPr>
            <sz val="9"/>
            <color indexed="81"/>
            <rFont val="Tahoma"/>
            <charset val="1"/>
          </rPr>
          <t xml:space="preserve">
Average yield for paddy in koraput is 8 quintal per acre</t>
        </r>
      </text>
    </comment>
  </commentList>
</comments>
</file>

<file path=xl/sharedStrings.xml><?xml version="1.0" encoding="utf-8"?>
<sst xmlns="http://schemas.openxmlformats.org/spreadsheetml/2006/main" count="309" uniqueCount="255">
  <si>
    <t>ST</t>
  </si>
  <si>
    <t>SC</t>
  </si>
  <si>
    <t>OBCs</t>
  </si>
  <si>
    <t>Average additional foodgrains per family</t>
  </si>
  <si>
    <t>Number of Districts</t>
  </si>
  <si>
    <t>Revenue Villages</t>
  </si>
  <si>
    <t>Rs 7501-10000</t>
  </si>
  <si>
    <t>Rs.10001-15000</t>
  </si>
  <si>
    <t>more than Rs.15000</t>
  </si>
  <si>
    <t>Parameters</t>
  </si>
  <si>
    <t>Name of PIA</t>
  </si>
  <si>
    <t>To</t>
  </si>
  <si>
    <t>From</t>
  </si>
  <si>
    <t>No.</t>
  </si>
  <si>
    <t>1.Outreach</t>
  </si>
  <si>
    <t>1.1.1</t>
  </si>
  <si>
    <t>1.1.2</t>
  </si>
  <si>
    <t>1.1.3</t>
  </si>
  <si>
    <t>1.1.4</t>
  </si>
  <si>
    <t>1.5.1</t>
  </si>
  <si>
    <t>1.5.3</t>
  </si>
  <si>
    <t>no.</t>
  </si>
  <si>
    <t xml:space="preserve">Food Sufficiency </t>
  </si>
  <si>
    <t>less than 6 months</t>
  </si>
  <si>
    <t>7-9 months</t>
  </si>
  <si>
    <t>9-12 month</t>
  </si>
  <si>
    <t>&gt; 12 months</t>
  </si>
  <si>
    <t>&lt; Rs.7500</t>
  </si>
  <si>
    <t>3.2.2</t>
  </si>
  <si>
    <t>Minorities</t>
  </si>
  <si>
    <t>1.5.4</t>
  </si>
  <si>
    <t>Number of Producer Organisations registered (Give the details with Year of Registration in annexure)</t>
  </si>
  <si>
    <t>Number of Blocks</t>
  </si>
  <si>
    <t>No. of Gram Panchayats</t>
  </si>
  <si>
    <t>acre</t>
  </si>
  <si>
    <t>capital investment for common infrastructure/CFC</t>
  </si>
  <si>
    <t>Qtls.</t>
  </si>
  <si>
    <t>No. of Village level Federations covered</t>
  </si>
  <si>
    <t>No. of SHGs covered</t>
  </si>
  <si>
    <t>No. of Cluster Level/Block level Federations covered</t>
  </si>
  <si>
    <t>Number of  village level Producers'/Collectors' Groups formed</t>
  </si>
  <si>
    <t xml:space="preserve">No. </t>
  </si>
  <si>
    <t>Incremental increase in NTFP collection for Women Farmers covered under MKSP</t>
  </si>
  <si>
    <t>Number of SHG members who are part of Producer's/Collector's groups (Please don't double count members)</t>
  </si>
  <si>
    <t>Total agricultural land under Share cropping / lease by the Women Farmers covered under MKSP</t>
  </si>
  <si>
    <t>Social Capital Development</t>
  </si>
  <si>
    <t>3.2.1</t>
  </si>
  <si>
    <t>3.3.1</t>
  </si>
  <si>
    <t>Interventions at the level of Community Institutions (Please provide data in the manner mentioned below)</t>
  </si>
  <si>
    <t>Livelihood groups: Please give the total no. of Livelihood groups formed and the breakup in the manner mentioned below</t>
  </si>
  <si>
    <t>Capacity building: Please provide the informations in the manner mentioned below</t>
  </si>
  <si>
    <t>Physical Assets Created through leveraged funds (to be defined by PIA as provided in Profile): Please define the physical assets created and the value of investment against each of the assets</t>
  </si>
  <si>
    <t>Please provide informations in the manner mentioned below, along with the relevant evidences in the annexure</t>
  </si>
  <si>
    <t>Proportion of Families having Income Range from intervention sunder MKSP: Please provide information in the manner mentioned below</t>
  </si>
  <si>
    <t>Sl.No</t>
  </si>
  <si>
    <t>Budget Heads</t>
  </si>
  <si>
    <t>Project Inception</t>
  </si>
  <si>
    <t>Mahila Kisan profiling</t>
  </si>
  <si>
    <t>DPR Preparation</t>
  </si>
  <si>
    <t>Technical protocols documentation</t>
  </si>
  <si>
    <t>Value-chain Studies</t>
  </si>
  <si>
    <t>Other (Specify)</t>
  </si>
  <si>
    <t>….</t>
  </si>
  <si>
    <t xml:space="preserve">Institution Building </t>
  </si>
  <si>
    <t>Mobilisation &amp; Promotion of producer groups</t>
  </si>
  <si>
    <t>Promotion of producer group federation</t>
  </si>
  <si>
    <t>Management support to producer federation</t>
  </si>
  <si>
    <t>Capacity Building</t>
  </si>
  <si>
    <t>Training module development : Print</t>
  </si>
  <si>
    <t xml:space="preserve">Training module development : audio-visual </t>
  </si>
  <si>
    <t>Training equipment &amp; material</t>
  </si>
  <si>
    <t xml:space="preserve">Training to CRP </t>
  </si>
  <si>
    <t>Trainings to para-professionals</t>
  </si>
  <si>
    <t xml:space="preserve">Training to Community </t>
  </si>
  <si>
    <t>Training to leaders &amp; PRI</t>
  </si>
  <si>
    <t>Exposure visits of CRPs to immersion sites</t>
  </si>
  <si>
    <t>Exposure visit of para-professional to immersion sites</t>
  </si>
  <si>
    <t>Exposure visit of Community to immersion sites</t>
  </si>
  <si>
    <t>Service charge to CRP (Excluding the resource fee received by them as trainers)</t>
  </si>
  <si>
    <t>Service charge to para-professionals (Excluding the resource fee received by them as trainers)</t>
  </si>
  <si>
    <t>Community Investment Support</t>
  </si>
  <si>
    <t>Community Infrastructure</t>
  </si>
  <si>
    <t>Inputs to the mahila kisan (grant/subsidy/full loan)</t>
  </si>
  <si>
    <t>Inputs to producer groups/ federation (grant/subsidy/full loan)</t>
  </si>
  <si>
    <t>Knowledge Management</t>
  </si>
  <si>
    <t>Identification of best practices</t>
  </si>
  <si>
    <t>Documentation of best practices</t>
  </si>
  <si>
    <t>Dissemination of best practices</t>
  </si>
  <si>
    <t>Monitoring &amp; Evaluation</t>
  </si>
  <si>
    <t>Baseline survey</t>
  </si>
  <si>
    <t>Endline survey</t>
  </si>
  <si>
    <t>Independent evaluation studies</t>
  </si>
  <si>
    <t>Public information disclosure</t>
  </si>
  <si>
    <t>Social Audit</t>
  </si>
  <si>
    <t>Administration Expenditure (Maximum 5% of total project cost)</t>
  </si>
  <si>
    <t>Staff salaries</t>
  </si>
  <si>
    <t>Travel &amp; conveyance</t>
  </si>
  <si>
    <t>Stationary</t>
  </si>
  <si>
    <t>Communication</t>
  </si>
  <si>
    <t xml:space="preserve">Grand Total </t>
  </si>
  <si>
    <t>Total available funds- as per the budget approval for the given year</t>
  </si>
  <si>
    <t>Opening balance for the given reporting period</t>
  </si>
  <si>
    <t>Unutilized funds as % of total available funds- approved for the year</t>
  </si>
  <si>
    <t>Total expenditure till the end of previous reporting quarter</t>
  </si>
  <si>
    <t>Expenditure in the current quarter</t>
  </si>
  <si>
    <t>Balance unutilized funds at the end of reporting quarter</t>
  </si>
  <si>
    <t>Sl. No.</t>
  </si>
  <si>
    <t>Particulars</t>
  </si>
  <si>
    <t>% achievement of overall target</t>
  </si>
  <si>
    <t>Total No. of Mahila Kisan Covered</t>
  </si>
  <si>
    <t>No. of Mahila Kisan covered (Castewise): Please give total no. here and the break up below</t>
  </si>
  <si>
    <t>OBC</t>
  </si>
  <si>
    <t>Total</t>
  </si>
  <si>
    <t>Sustainable Agriculture</t>
  </si>
  <si>
    <t>NTFP activity</t>
  </si>
  <si>
    <t>Livestock activity</t>
  </si>
  <si>
    <t>1.3.1</t>
  </si>
  <si>
    <t>1.3.2</t>
  </si>
  <si>
    <t>1.3.3</t>
  </si>
  <si>
    <t>"Infrastructure &amp; Marketing Fund" for MKSP Funding used as :  (Rs. Lakh): Please provide the total fund here utilized and the break up of the funds as mentioned below</t>
  </si>
  <si>
    <t>1.2.1</t>
  </si>
  <si>
    <t>1.2.2</t>
  </si>
  <si>
    <t>1.2.3</t>
  </si>
  <si>
    <t>1.2.4</t>
  </si>
  <si>
    <t>No. of Value chain studies completed</t>
  </si>
  <si>
    <t>Nos.</t>
  </si>
  <si>
    <t>Cumulative achievement till last reporting quarter (A)</t>
  </si>
  <si>
    <t>% achievement of annual target</t>
  </si>
  <si>
    <t>% achievement of annual target AT=(C/Y)*100</t>
  </si>
  <si>
    <t>Total target as per the Sanction order (X)</t>
  </si>
  <si>
    <t>% achievement of the total target TT=(C/X)*100</t>
  </si>
  <si>
    <t>Achievement till date (C=A+B)</t>
  </si>
  <si>
    <t>Plan for the given Financial Year (Y)</t>
  </si>
  <si>
    <t>No. of trainee days of Capacity building of Community Para Professionals</t>
  </si>
  <si>
    <t>No. of CFCs developed</t>
  </si>
  <si>
    <t>Community Para Professionals/Pashu Sakhis: Please provide the informations in the manner mentioned below</t>
  </si>
  <si>
    <t>Total area brought under Sustainable agriculture practices (acres)</t>
  </si>
  <si>
    <t>Cumulative progress at the end of current quarter</t>
  </si>
  <si>
    <t>Total Agricultural area of Women Farmers in the area of operations (Gross cropped area): Owned land+leased/sharecropped land Please give the total area and the breakup as mentioned below</t>
  </si>
  <si>
    <t>No. of Mahila Kisan trained under MKSP</t>
  </si>
  <si>
    <t xml:space="preserve">Livelihood groups formed </t>
  </si>
  <si>
    <t>No. of Mahila Kisan in NRLM compliant SHGs</t>
  </si>
  <si>
    <t>No. of Women farmers covered under NRLM compliant SHGs</t>
  </si>
  <si>
    <t>Geographical outreach: Please provide the details in the manner mentioned below</t>
  </si>
  <si>
    <t>No. of women farmers trained on MKSP protocols (Castewise): Please Provide total no. and breakup as mentioned below</t>
  </si>
  <si>
    <t>No. of trainings conducted under MKSP: For Mahila Kisan</t>
  </si>
  <si>
    <t xml:space="preserve">No. of Trainings conducted under MKSP: For Community Professionals/Para-professionals/Pashu Sakhis </t>
  </si>
  <si>
    <t>No. of Trainings under MKSP: For Field Functionaries/Field staffs</t>
  </si>
  <si>
    <t>Increase in crop output for the Women Farmers covered under MKSP</t>
  </si>
  <si>
    <t>Increase in NTFP collection for Women Farmers covered under MKSP</t>
  </si>
  <si>
    <t>1.3.4</t>
  </si>
  <si>
    <t>1.4.1</t>
  </si>
  <si>
    <t>1.4.2</t>
  </si>
  <si>
    <t>1.4.3</t>
  </si>
  <si>
    <t>2. Landholding under Sustainable Practices</t>
  </si>
  <si>
    <t>3.1 Input: Training and Capacity Building</t>
  </si>
  <si>
    <t>3.1.1</t>
  </si>
  <si>
    <t>3.1.2</t>
  </si>
  <si>
    <t>3.1.3</t>
  </si>
  <si>
    <t>3.1.4</t>
  </si>
  <si>
    <t>3.1.5</t>
  </si>
  <si>
    <t>3.1.1.1</t>
  </si>
  <si>
    <t>3.1.1.2</t>
  </si>
  <si>
    <t>3.1.1.3</t>
  </si>
  <si>
    <t>3.1.1.4</t>
  </si>
  <si>
    <t>3.1.2.1</t>
  </si>
  <si>
    <t>3.1.2.2</t>
  </si>
  <si>
    <t>3.1.2.3</t>
  </si>
  <si>
    <t>3.1.3.1</t>
  </si>
  <si>
    <t>3.1.3.2</t>
  </si>
  <si>
    <t>3.1.3.3</t>
  </si>
  <si>
    <t>3.1.4.1</t>
  </si>
  <si>
    <t>3.1.4.2</t>
  </si>
  <si>
    <t>3.1.4.3</t>
  </si>
  <si>
    <t>3.1.5.1</t>
  </si>
  <si>
    <t>3.1.5.2</t>
  </si>
  <si>
    <t>3.1.5.3</t>
  </si>
  <si>
    <t>3.1.5.4</t>
  </si>
  <si>
    <t>3.2 Input: Infrastructure and Marketing fund</t>
  </si>
  <si>
    <t>3.3.2</t>
  </si>
  <si>
    <t>3.3.3</t>
  </si>
  <si>
    <t>3.3.4</t>
  </si>
  <si>
    <t>3.3.5</t>
  </si>
  <si>
    <t>4. Output</t>
  </si>
  <si>
    <t>4A Output: Increase in Income and Food security</t>
  </si>
  <si>
    <t>4A.1</t>
  </si>
  <si>
    <t>4A.2</t>
  </si>
  <si>
    <t>4A.1.1</t>
  </si>
  <si>
    <t>4A.1.2</t>
  </si>
  <si>
    <t>4A.1.3</t>
  </si>
  <si>
    <t>4A.1.4</t>
  </si>
  <si>
    <t>4A.2.1</t>
  </si>
  <si>
    <t>4A.2.1.1</t>
  </si>
  <si>
    <t>4A.2.1.2</t>
  </si>
  <si>
    <t>4A.2.1.3</t>
  </si>
  <si>
    <t>4A.2.1.4</t>
  </si>
  <si>
    <t>4B Output: Creation of Social Capital</t>
  </si>
  <si>
    <t>4B.1</t>
  </si>
  <si>
    <t>4B.1.1</t>
  </si>
  <si>
    <t>4B.1.2</t>
  </si>
  <si>
    <t>3. Inputs</t>
  </si>
  <si>
    <t>No. of Revenue villages covered</t>
  </si>
  <si>
    <t>No. of trainee days for Mahila Kisan</t>
  </si>
  <si>
    <t>No. of trainee days for Community Resouce Presons</t>
  </si>
  <si>
    <t>No.of CRPs trained and deployed</t>
  </si>
  <si>
    <t>No. of Pashu Sakhis trained and Deployed</t>
  </si>
  <si>
    <t>No. of trainee days of Capacity building of Mahila Kisan</t>
  </si>
  <si>
    <t>No. of trainee days for Community Para-professionals/Pashu Sakhis</t>
  </si>
  <si>
    <t>Community Resources Persons (Women CRPs only) trained in Sustainable agriculture/NTFP: Please provide the total no. here and the breakup under each subhead in the annexure</t>
  </si>
  <si>
    <t>Central share</t>
  </si>
  <si>
    <t>State share</t>
  </si>
  <si>
    <t>Beneficiary contribution</t>
  </si>
  <si>
    <t>PIA contribution</t>
  </si>
  <si>
    <t>Others(Pls. specify)</t>
  </si>
  <si>
    <t>Rs</t>
  </si>
  <si>
    <t>Gross cropped area in acres under Sustainable Agriculture of MKSP owned by Mahila Kisan</t>
  </si>
  <si>
    <t>Crop output for the Women Farmers covered under MKSP (Please provide the average yield of each crop, in the manner mentioned below)</t>
  </si>
  <si>
    <t>Tree 1</t>
  </si>
  <si>
    <t>Tree 2</t>
  </si>
  <si>
    <t>Tree 3</t>
  </si>
  <si>
    <t>No. of women farmers involved in Kitchen garden activities</t>
  </si>
  <si>
    <t>Minority</t>
  </si>
  <si>
    <t>Others</t>
  </si>
  <si>
    <t xml:space="preserve">No. of trainee days of Capacity Building of Community Resource persons </t>
  </si>
  <si>
    <t>Ring well</t>
  </si>
  <si>
    <t xml:space="preserve">Project Title:Impacting Livelihood by Farm and Off-farm based Interventions through Women Institutions </t>
  </si>
  <si>
    <t>Date of PAC approval:28 Oct 2013</t>
  </si>
  <si>
    <t>Expenditure as % of total available funds- till the end of previous reporting period</t>
  </si>
  <si>
    <t>Expenditure as % of opening balance for the quarter</t>
  </si>
  <si>
    <t>Operational Fund of Producer federation(Poultry)</t>
  </si>
  <si>
    <t xml:space="preserve">Operational Fund of Producer federation (cooperative) </t>
  </si>
  <si>
    <t>Office Rent</t>
  </si>
  <si>
    <t>Paddy</t>
  </si>
  <si>
    <t>Horsegram</t>
  </si>
  <si>
    <t>Cauliflower</t>
  </si>
  <si>
    <t>Beans</t>
  </si>
  <si>
    <t>NA</t>
  </si>
  <si>
    <t xml:space="preserve">Reporting Period: </t>
  </si>
  <si>
    <t>Pump set</t>
  </si>
  <si>
    <t>sprayer</t>
  </si>
  <si>
    <t>Weeder</t>
  </si>
  <si>
    <t>UoM(Unit of measurement) examples given</t>
  </si>
  <si>
    <t>Harsha Trust</t>
  </si>
  <si>
    <t>Achievement in the current reporting quarter Apr-June 2016  (B)</t>
  </si>
  <si>
    <t>Bore well ( Convergence)</t>
  </si>
  <si>
    <t>Brinjal</t>
  </si>
  <si>
    <t>Total amount received till 31st March 2016</t>
  </si>
  <si>
    <t>Expenditure till   30th June 2016</t>
  </si>
  <si>
    <r>
      <t xml:space="preserve">Total amount received till date </t>
    </r>
    <r>
      <rPr>
        <b/>
        <i/>
        <sz val="11"/>
        <color indexed="8"/>
        <rFont val="Times New Roman"/>
        <family val="1"/>
      </rPr>
      <t>in current Financial year (Rs)</t>
    </r>
  </si>
  <si>
    <t>Financial summary for Review at the end of Q2 FY 2016-17</t>
  </si>
  <si>
    <t>Closing Balance (as on  30 June 2016)</t>
  </si>
  <si>
    <t>Opening balance (as on1st July 2016)</t>
  </si>
  <si>
    <t>Receipts in the current quarter (July 2016-Sept 2016)</t>
  </si>
  <si>
    <t>Expenditure in the current quarter   (July 2016-Sept 2016)</t>
  </si>
  <si>
    <t>Closing Balance (as on 30 Sept 2016)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</si>
</sst>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m/d/yyyy;@"/>
  </numFmts>
  <fonts count="34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0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/>
    <xf numFmtId="43" fontId="22" fillId="0" borderId="10" xfId="28" applyFont="1" applyBorder="1"/>
    <xf numFmtId="43" fontId="22" fillId="0" borderId="10" xfId="28" applyFont="1" applyBorder="1" applyAlignment="1"/>
    <xf numFmtId="43" fontId="22" fillId="0" borderId="10" xfId="28" applyFont="1" applyBorder="1" applyAlignment="1">
      <alignment horizontal="center"/>
    </xf>
    <xf numFmtId="43" fontId="20" fillId="0" borderId="10" xfId="28" applyFont="1" applyBorder="1"/>
    <xf numFmtId="43" fontId="20" fillId="0" borderId="10" xfId="28" applyFont="1" applyBorder="1" applyAlignment="1"/>
    <xf numFmtId="43" fontId="20" fillId="0" borderId="10" xfId="28" applyFont="1" applyBorder="1" applyAlignment="1">
      <alignment horizontal="center"/>
    </xf>
    <xf numFmtId="43" fontId="20" fillId="0" borderId="0" xfId="0" applyNumberFormat="1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64" fontId="22" fillId="0" borderId="10" xfId="28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0" fillId="0" borderId="10" xfId="38" applyFont="1" applyFill="1" applyBorder="1" applyAlignment="1">
      <alignment horizontal="center" vertical="center" wrapText="1"/>
    </xf>
    <xf numFmtId="0" fontId="29" fillId="24" borderId="10" xfId="38" applyFont="1" applyFill="1" applyBorder="1" applyAlignment="1">
      <alignment wrapText="1"/>
    </xf>
    <xf numFmtId="0" fontId="30" fillId="0" borderId="10" xfId="38" applyFont="1" applyFill="1" applyBorder="1" applyAlignment="1">
      <alignment wrapText="1"/>
    </xf>
    <xf numFmtId="164" fontId="20" fillId="0" borderId="10" xfId="28" applyNumberFormat="1" applyFont="1" applyFill="1" applyBorder="1" applyAlignment="1">
      <alignment horizontal="left" vertical="center"/>
    </xf>
    <xf numFmtId="0" fontId="31" fillId="24" borderId="10" xfId="38" applyFont="1" applyFill="1" applyBorder="1" applyAlignment="1">
      <alignment wrapText="1"/>
    </xf>
    <xf numFmtId="165" fontId="20" fillId="0" borderId="10" xfId="28" applyNumberFormat="1" applyFont="1" applyFill="1" applyBorder="1" applyAlignment="1">
      <alignment horizontal="center"/>
    </xf>
    <xf numFmtId="166" fontId="20" fillId="0" borderId="10" xfId="38" applyNumberFormat="1" applyFont="1" applyFill="1" applyBorder="1" applyAlignment="1">
      <alignment horizontal="center" vertical="center"/>
    </xf>
    <xf numFmtId="165" fontId="20" fillId="0" borderId="10" xfId="28" applyNumberFormat="1" applyFont="1" applyFill="1" applyBorder="1" applyAlignment="1">
      <alignment horizontal="center" vertical="center"/>
    </xf>
    <xf numFmtId="164" fontId="20" fillId="0" borderId="10" xfId="28" applyNumberFormat="1" applyFont="1" applyFill="1" applyBorder="1" applyAlignment="1">
      <alignment horizontal="center" vertical="center"/>
    </xf>
    <xf numFmtId="0" fontId="30" fillId="0" borderId="10" xfId="38" applyFont="1" applyBorder="1" applyAlignment="1">
      <alignment wrapText="1"/>
    </xf>
    <xf numFmtId="43" fontId="20" fillId="0" borderId="10" xfId="28" applyNumberFormat="1" applyFont="1" applyFill="1" applyBorder="1" applyAlignment="1">
      <alignment horizontal="center" vertical="center"/>
    </xf>
    <xf numFmtId="2" fontId="20" fillId="0" borderId="10" xfId="38" applyNumberFormat="1" applyFont="1" applyFill="1" applyBorder="1" applyAlignment="1">
      <alignment horizontal="center" vertical="center" wrapText="1"/>
    </xf>
    <xf numFmtId="0" fontId="31" fillId="25" borderId="10" xfId="38" applyFont="1" applyFill="1" applyBorder="1" applyAlignment="1">
      <alignment wrapText="1"/>
    </xf>
    <xf numFmtId="0" fontId="32" fillId="26" borderId="10" xfId="38" applyFont="1" applyFill="1" applyBorder="1" applyAlignment="1">
      <alignment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9" fontId="20" fillId="0" borderId="12" xfId="41" applyFont="1" applyFill="1" applyBorder="1" applyAlignment="1" applyProtection="1">
      <alignment horizontal="left" vertical="center" wrapText="1"/>
      <protection locked="0"/>
    </xf>
    <xf numFmtId="9" fontId="22" fillId="0" borderId="12" xfId="41" applyFont="1" applyFill="1" applyBorder="1" applyAlignment="1" applyProtection="1">
      <alignment horizontal="left" vertical="center" wrapText="1"/>
      <protection locked="0"/>
    </xf>
    <xf numFmtId="9" fontId="22" fillId="0" borderId="10" xfId="41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>
      <alignment horizontal="left" vertical="center" wrapText="1"/>
    </xf>
    <xf numFmtId="167" fontId="22" fillId="0" borderId="11" xfId="0" applyNumberFormat="1" applyFont="1" applyFill="1" applyBorder="1" applyAlignment="1">
      <alignment horizontal="center" vertical="center"/>
    </xf>
    <xf numFmtId="17" fontId="22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43" fontId="25" fillId="0" borderId="10" xfId="28" applyFont="1" applyBorder="1" applyAlignment="1">
      <alignment vertical="center"/>
    </xf>
    <xf numFmtId="4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43" fontId="21" fillId="0" borderId="0" xfId="28" applyFont="1" applyAlignment="1">
      <alignment vertical="center"/>
    </xf>
    <xf numFmtId="43" fontId="21" fillId="0" borderId="0" xfId="28" applyFont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202266</xdr:colOff>
      <xdr:row>0</xdr:row>
      <xdr:rowOff>0</xdr:rowOff>
    </xdr:from>
    <xdr:ext cx="6455709" cy="730752"/>
    <xdr:sp macro="" textlink="">
      <xdr:nvSpPr>
        <xdr:cNvPr id="2" name="Rectangle 1"/>
        <xdr:cNvSpPr/>
      </xdr:nvSpPr>
      <xdr:spPr>
        <a:xfrm>
          <a:off x="202266" y="0"/>
          <a:ext cx="6455709" cy="7307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3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Summary sheet: Physical Progress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DA%20Koraput%20Work/QPR_MKSP_FIN_Jan-March_2016%20Kund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Progress report"/>
      <sheetName val="Summary Physical-no Fill"/>
    </sheetNames>
    <sheetDataSet>
      <sheetData sheetId="0">
        <row r="12">
          <cell r="H12">
            <v>15</v>
          </cell>
          <cell r="I12">
            <v>60</v>
          </cell>
          <cell r="J12">
            <v>37.5</v>
          </cell>
        </row>
        <row r="16">
          <cell r="H16">
            <v>2235</v>
          </cell>
          <cell r="I16" t="e">
            <v>#DIV/0!</v>
          </cell>
          <cell r="J16">
            <v>127.71428571428571</v>
          </cell>
        </row>
        <row r="21">
          <cell r="H21">
            <v>1672</v>
          </cell>
          <cell r="I21">
            <v>95.542857142857144</v>
          </cell>
          <cell r="J21">
            <v>95.542857142857144</v>
          </cell>
        </row>
        <row r="30">
          <cell r="H30">
            <v>10</v>
          </cell>
          <cell r="I30">
            <v>25</v>
          </cell>
          <cell r="J30">
            <v>8.3333333333333321</v>
          </cell>
        </row>
        <row r="36">
          <cell r="H36">
            <v>2234.06</v>
          </cell>
          <cell r="I36">
            <v>421.52075471698112</v>
          </cell>
          <cell r="J36">
            <v>139.62875</v>
          </cell>
        </row>
        <row r="40">
          <cell r="H40">
            <v>2185</v>
          </cell>
          <cell r="I40">
            <v>97.762863534675617</v>
          </cell>
          <cell r="J40">
            <v>124.85714285714286</v>
          </cell>
        </row>
        <row r="58">
          <cell r="H58">
            <v>8419</v>
          </cell>
          <cell r="I58">
            <v>99.633136094674555</v>
          </cell>
          <cell r="J58">
            <v>34.085020242914979</v>
          </cell>
        </row>
        <row r="59">
          <cell r="H59">
            <v>73</v>
          </cell>
          <cell r="I59">
            <v>81.111111111111114</v>
          </cell>
          <cell r="J59">
            <v>27.037037037037038</v>
          </cell>
        </row>
        <row r="60">
          <cell r="H60">
            <v>336</v>
          </cell>
          <cell r="I60">
            <v>108.38709677419357</v>
          </cell>
          <cell r="J60">
            <v>43.354838709677416</v>
          </cell>
        </row>
        <row r="74">
          <cell r="H74">
            <v>6.77</v>
          </cell>
          <cell r="I74">
            <v>42.3125</v>
          </cell>
          <cell r="J74">
            <v>42.3125</v>
          </cell>
        </row>
        <row r="103">
          <cell r="H103">
            <v>22</v>
          </cell>
          <cell r="I103">
            <v>44</v>
          </cell>
          <cell r="J103">
            <v>44</v>
          </cell>
        </row>
        <row r="104">
          <cell r="H104">
            <v>10</v>
          </cell>
          <cell r="I104" t="e">
            <v>#DIV/0!</v>
          </cell>
          <cell r="J104">
            <v>100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SheetLayoutView="80" workbookViewId="0">
      <pane xSplit="2" ySplit="10" topLeftCell="C103" activePane="bottomRight" state="frozen"/>
      <selection pane="topRight" activeCell="C1" sqref="C1"/>
      <selection pane="bottomLeft" activeCell="A11" sqref="A11"/>
      <selection pane="bottomRight" activeCell="K104" sqref="K104"/>
    </sheetView>
  </sheetViews>
  <sheetFormatPr defaultColWidth="9.140625" defaultRowHeight="12.75"/>
  <cols>
    <col min="1" max="1" width="9.140625" style="1" customWidth="1"/>
    <col min="2" max="2" width="34.7109375" style="44" customWidth="1"/>
    <col min="3" max="3" width="12.7109375" style="1" bestFit="1" customWidth="1"/>
    <col min="4" max="4" width="13.85546875" style="1" bestFit="1" customWidth="1"/>
    <col min="5" max="5" width="10.5703125" style="1" bestFit="1" customWidth="1"/>
    <col min="6" max="6" width="13.42578125" style="1" bestFit="1" customWidth="1"/>
    <col min="7" max="7" width="11.85546875" style="2" customWidth="1"/>
    <col min="8" max="8" width="11.42578125" style="1" bestFit="1" customWidth="1"/>
    <col min="9" max="9" width="12.5703125" style="1" customWidth="1"/>
    <col min="10" max="10" width="15.140625" style="1" bestFit="1" customWidth="1"/>
    <col min="11" max="11" width="13.5703125" style="1" customWidth="1"/>
    <col min="12" max="13" width="12.7109375" style="1" customWidth="1"/>
    <col min="14" max="14" width="20.28515625" style="1" customWidth="1"/>
    <col min="15" max="15" width="14.28515625" style="1" customWidth="1"/>
    <col min="16" max="16384" width="9.140625" style="1"/>
  </cols>
  <sheetData>
    <row r="1" spans="1:14" ht="13.5" thickBot="1"/>
    <row r="2" spans="1:14">
      <c r="B2" s="43" t="s">
        <v>10</v>
      </c>
      <c r="C2" s="71" t="s">
        <v>242</v>
      </c>
      <c r="D2" s="72"/>
      <c r="E2" s="72"/>
      <c r="F2" s="72"/>
      <c r="G2" s="72"/>
      <c r="H2" s="72"/>
      <c r="I2" s="72"/>
      <c r="J2" s="73"/>
      <c r="K2" s="13"/>
    </row>
    <row r="3" spans="1:14">
      <c r="B3" s="43" t="s">
        <v>225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79"/>
    </row>
    <row r="4" spans="1:14">
      <c r="B4" s="43" t="s">
        <v>226</v>
      </c>
      <c r="C4" s="13"/>
      <c r="D4" s="13"/>
      <c r="E4" s="13"/>
      <c r="F4" s="13"/>
      <c r="G4" s="14"/>
      <c r="H4" s="13"/>
      <c r="I4" s="13"/>
      <c r="J4" s="13"/>
      <c r="K4" s="13"/>
      <c r="L4" s="13"/>
      <c r="M4" s="13"/>
      <c r="N4" s="13"/>
    </row>
    <row r="5" spans="1:14">
      <c r="B5" s="43" t="s">
        <v>237</v>
      </c>
      <c r="C5" s="2" t="s">
        <v>11</v>
      </c>
      <c r="D5" s="58">
        <v>42643</v>
      </c>
      <c r="E5" s="2"/>
      <c r="F5" s="2" t="s">
        <v>12</v>
      </c>
      <c r="H5" s="59">
        <v>42552</v>
      </c>
      <c r="K5" s="15"/>
    </row>
    <row r="9" spans="1:14" ht="76.5">
      <c r="A9" s="16"/>
      <c r="B9" s="45" t="s">
        <v>9</v>
      </c>
      <c r="C9" s="17" t="s">
        <v>241</v>
      </c>
      <c r="D9" s="17" t="s">
        <v>129</v>
      </c>
      <c r="E9" s="18" t="s">
        <v>132</v>
      </c>
      <c r="F9" s="18" t="s">
        <v>126</v>
      </c>
      <c r="G9" s="18" t="s">
        <v>243</v>
      </c>
      <c r="H9" s="18" t="s">
        <v>131</v>
      </c>
      <c r="I9" s="18" t="s">
        <v>128</v>
      </c>
      <c r="J9" s="17" t="s">
        <v>130</v>
      </c>
    </row>
    <row r="10" spans="1:14">
      <c r="A10" s="68" t="s">
        <v>14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4" ht="25.5">
      <c r="A11" s="19">
        <v>1.1000000000000001</v>
      </c>
      <c r="B11" s="46" t="s">
        <v>143</v>
      </c>
      <c r="C11" s="3" t="s">
        <v>13</v>
      </c>
      <c r="D11" s="3"/>
      <c r="E11" s="3"/>
      <c r="F11" s="3"/>
      <c r="G11" s="16"/>
      <c r="H11" s="3">
        <f t="shared" ref="H11:H74" si="0">F11+G11</f>
        <v>0</v>
      </c>
      <c r="I11" s="3" t="e">
        <f t="shared" ref="I11:I74" si="1">(H11/E11)*100</f>
        <v>#DIV/0!</v>
      </c>
      <c r="J11" s="3" t="e">
        <f t="shared" ref="J11:J74" si="2">(H11/D11)*100</f>
        <v>#DIV/0!</v>
      </c>
    </row>
    <row r="12" spans="1:14">
      <c r="A12" s="19" t="s">
        <v>15</v>
      </c>
      <c r="B12" s="47" t="s">
        <v>5</v>
      </c>
      <c r="C12" s="3"/>
      <c r="D12" s="3">
        <v>40</v>
      </c>
      <c r="E12" s="3">
        <v>25</v>
      </c>
      <c r="F12" s="3">
        <v>15</v>
      </c>
      <c r="G12" s="3">
        <v>0</v>
      </c>
      <c r="H12" s="3">
        <f t="shared" si="0"/>
        <v>15</v>
      </c>
      <c r="I12" s="3">
        <f t="shared" si="1"/>
        <v>60</v>
      </c>
      <c r="J12" s="3">
        <f t="shared" si="2"/>
        <v>37.5</v>
      </c>
    </row>
    <row r="13" spans="1:14">
      <c r="A13" s="19" t="s">
        <v>16</v>
      </c>
      <c r="B13" s="47" t="s">
        <v>33</v>
      </c>
      <c r="C13" s="3"/>
      <c r="D13" s="3">
        <v>3</v>
      </c>
      <c r="E13" s="3">
        <v>3</v>
      </c>
      <c r="F13" s="3">
        <v>5</v>
      </c>
      <c r="G13" s="3">
        <v>0</v>
      </c>
      <c r="H13" s="3">
        <f t="shared" si="0"/>
        <v>5</v>
      </c>
      <c r="I13" s="4">
        <f t="shared" si="1"/>
        <v>166.66666666666669</v>
      </c>
      <c r="J13" s="4">
        <f t="shared" si="2"/>
        <v>166.66666666666669</v>
      </c>
    </row>
    <row r="14" spans="1:14">
      <c r="A14" s="19" t="s">
        <v>17</v>
      </c>
      <c r="B14" s="47" t="s">
        <v>32</v>
      </c>
      <c r="C14" s="3"/>
      <c r="D14" s="3">
        <v>1</v>
      </c>
      <c r="E14" s="3">
        <v>1</v>
      </c>
      <c r="F14" s="3">
        <v>1</v>
      </c>
      <c r="G14" s="3">
        <v>0</v>
      </c>
      <c r="H14" s="3">
        <f t="shared" si="0"/>
        <v>1</v>
      </c>
      <c r="I14" s="3">
        <f t="shared" si="1"/>
        <v>100</v>
      </c>
      <c r="J14" s="3">
        <f t="shared" si="2"/>
        <v>100</v>
      </c>
    </row>
    <row r="15" spans="1:14">
      <c r="A15" s="19" t="s">
        <v>18</v>
      </c>
      <c r="B15" s="47" t="s">
        <v>4</v>
      </c>
      <c r="C15" s="3"/>
      <c r="D15" s="3">
        <v>1</v>
      </c>
      <c r="E15" s="3">
        <v>1</v>
      </c>
      <c r="F15" s="3">
        <v>1</v>
      </c>
      <c r="G15" s="3">
        <v>0</v>
      </c>
      <c r="H15" s="3">
        <f t="shared" si="0"/>
        <v>1</v>
      </c>
      <c r="I15" s="3">
        <f t="shared" si="1"/>
        <v>100</v>
      </c>
      <c r="J15" s="3">
        <f t="shared" si="2"/>
        <v>100</v>
      </c>
    </row>
    <row r="16" spans="1:14" ht="38.25">
      <c r="A16" s="19">
        <v>1.2</v>
      </c>
      <c r="B16" s="46" t="s">
        <v>110</v>
      </c>
      <c r="C16" s="3" t="s">
        <v>13</v>
      </c>
      <c r="D16" s="3">
        <v>1750</v>
      </c>
      <c r="E16" s="3">
        <v>0</v>
      </c>
      <c r="F16" s="3">
        <v>2235</v>
      </c>
      <c r="G16" s="3"/>
      <c r="H16" s="3">
        <f t="shared" si="0"/>
        <v>2235</v>
      </c>
      <c r="I16" s="3" t="e">
        <f t="shared" si="1"/>
        <v>#DIV/0!</v>
      </c>
      <c r="J16" s="4">
        <f t="shared" si="2"/>
        <v>127.71428571428571</v>
      </c>
    </row>
    <row r="17" spans="1:10">
      <c r="A17" s="19" t="s">
        <v>120</v>
      </c>
      <c r="B17" s="46" t="s">
        <v>0</v>
      </c>
      <c r="C17" s="3"/>
      <c r="D17" s="3"/>
      <c r="E17" s="3"/>
      <c r="F17" s="3">
        <v>1593</v>
      </c>
      <c r="G17" s="3">
        <v>0</v>
      </c>
      <c r="H17" s="3">
        <f t="shared" si="0"/>
        <v>1593</v>
      </c>
      <c r="I17" s="3" t="e">
        <f t="shared" si="1"/>
        <v>#DIV/0!</v>
      </c>
      <c r="J17" s="3" t="e">
        <f t="shared" si="2"/>
        <v>#DIV/0!</v>
      </c>
    </row>
    <row r="18" spans="1:10">
      <c r="A18" s="19" t="s">
        <v>121</v>
      </c>
      <c r="B18" s="46" t="s">
        <v>1</v>
      </c>
      <c r="C18" s="3"/>
      <c r="D18" s="3"/>
      <c r="E18" s="3"/>
      <c r="F18" s="3">
        <v>291</v>
      </c>
      <c r="G18" s="3">
        <v>0</v>
      </c>
      <c r="H18" s="3">
        <f t="shared" si="0"/>
        <v>291</v>
      </c>
      <c r="I18" s="3" t="e">
        <f t="shared" si="1"/>
        <v>#DIV/0!</v>
      </c>
      <c r="J18" s="3" t="e">
        <f t="shared" si="2"/>
        <v>#DIV/0!</v>
      </c>
    </row>
    <row r="19" spans="1:10">
      <c r="A19" s="19" t="s">
        <v>122</v>
      </c>
      <c r="B19" s="46" t="s">
        <v>111</v>
      </c>
      <c r="C19" s="3"/>
      <c r="D19" s="3"/>
      <c r="E19" s="3"/>
      <c r="F19" s="3">
        <v>337</v>
      </c>
      <c r="G19" s="3">
        <v>0</v>
      </c>
      <c r="H19" s="3">
        <f t="shared" si="0"/>
        <v>337</v>
      </c>
      <c r="I19" s="3" t="e">
        <f t="shared" si="1"/>
        <v>#DIV/0!</v>
      </c>
      <c r="J19" s="3" t="e">
        <f t="shared" si="2"/>
        <v>#DIV/0!</v>
      </c>
    </row>
    <row r="20" spans="1:10">
      <c r="A20" s="19" t="s">
        <v>123</v>
      </c>
      <c r="B20" s="46" t="s">
        <v>29</v>
      </c>
      <c r="C20" s="3"/>
      <c r="D20" s="3"/>
      <c r="E20" s="3"/>
      <c r="F20" s="3">
        <v>14</v>
      </c>
      <c r="G20" s="3">
        <v>0</v>
      </c>
      <c r="H20" s="3">
        <f t="shared" si="0"/>
        <v>14</v>
      </c>
      <c r="I20" s="3" t="e">
        <f t="shared" si="1"/>
        <v>#DIV/0!</v>
      </c>
      <c r="J20" s="3" t="e">
        <f t="shared" si="2"/>
        <v>#DIV/0!</v>
      </c>
    </row>
    <row r="21" spans="1:10" ht="25.5">
      <c r="A21" s="19">
        <v>1.3</v>
      </c>
      <c r="B21" s="46" t="s">
        <v>142</v>
      </c>
      <c r="C21" s="3" t="s">
        <v>13</v>
      </c>
      <c r="D21" s="3">
        <v>1750</v>
      </c>
      <c r="E21" s="3">
        <v>1750</v>
      </c>
      <c r="F21" s="3">
        <v>1672</v>
      </c>
      <c r="G21" s="3"/>
      <c r="H21" s="3">
        <f t="shared" si="0"/>
        <v>1672</v>
      </c>
      <c r="I21" s="4">
        <f t="shared" si="1"/>
        <v>95.542857142857144</v>
      </c>
      <c r="J21" s="4">
        <f t="shared" si="2"/>
        <v>95.542857142857144</v>
      </c>
    </row>
    <row r="22" spans="1:10">
      <c r="A22" s="19" t="s">
        <v>116</v>
      </c>
      <c r="B22" s="46" t="s">
        <v>0</v>
      </c>
      <c r="C22" s="3"/>
      <c r="D22" s="3"/>
      <c r="E22" s="3"/>
      <c r="F22" s="3">
        <v>1171</v>
      </c>
      <c r="G22" s="3">
        <v>0</v>
      </c>
      <c r="H22" s="3">
        <f t="shared" si="0"/>
        <v>1171</v>
      </c>
      <c r="I22" s="3" t="e">
        <f t="shared" si="1"/>
        <v>#DIV/0!</v>
      </c>
      <c r="J22" s="3" t="e">
        <f t="shared" si="2"/>
        <v>#DIV/0!</v>
      </c>
    </row>
    <row r="23" spans="1:10">
      <c r="A23" s="19" t="s">
        <v>117</v>
      </c>
      <c r="B23" s="46" t="s">
        <v>1</v>
      </c>
      <c r="C23" s="3"/>
      <c r="D23" s="3"/>
      <c r="E23" s="3"/>
      <c r="F23" s="3">
        <v>268</v>
      </c>
      <c r="G23" s="3">
        <v>0</v>
      </c>
      <c r="H23" s="3">
        <f t="shared" si="0"/>
        <v>268</v>
      </c>
      <c r="I23" s="3" t="e">
        <f t="shared" si="1"/>
        <v>#DIV/0!</v>
      </c>
      <c r="J23" s="3" t="e">
        <f t="shared" si="2"/>
        <v>#DIV/0!</v>
      </c>
    </row>
    <row r="24" spans="1:10">
      <c r="A24" s="19" t="s">
        <v>118</v>
      </c>
      <c r="B24" s="46" t="s">
        <v>111</v>
      </c>
      <c r="C24" s="3"/>
      <c r="D24" s="3"/>
      <c r="E24" s="3"/>
      <c r="F24" s="3">
        <v>222</v>
      </c>
      <c r="G24" s="3">
        <v>0</v>
      </c>
      <c r="H24" s="3">
        <f t="shared" si="0"/>
        <v>222</v>
      </c>
      <c r="I24" s="3" t="e">
        <f t="shared" si="1"/>
        <v>#DIV/0!</v>
      </c>
      <c r="J24" s="3" t="e">
        <f t="shared" si="2"/>
        <v>#DIV/0!</v>
      </c>
    </row>
    <row r="25" spans="1:10">
      <c r="A25" s="19" t="s">
        <v>150</v>
      </c>
      <c r="B25" s="46" t="s">
        <v>29</v>
      </c>
      <c r="C25" s="3"/>
      <c r="D25" s="3"/>
      <c r="E25" s="3"/>
      <c r="F25" s="3">
        <v>11</v>
      </c>
      <c r="G25" s="3">
        <v>0</v>
      </c>
      <c r="H25" s="3">
        <f t="shared" si="0"/>
        <v>11</v>
      </c>
      <c r="I25" s="3" t="e">
        <f t="shared" si="1"/>
        <v>#DIV/0!</v>
      </c>
      <c r="J25" s="3" t="e">
        <f t="shared" si="2"/>
        <v>#DIV/0!</v>
      </c>
    </row>
    <row r="26" spans="1:10" ht="38.25">
      <c r="A26" s="19">
        <v>1.4</v>
      </c>
      <c r="B26" s="46" t="s">
        <v>48</v>
      </c>
      <c r="C26" s="3"/>
      <c r="D26" s="3"/>
      <c r="E26" s="3"/>
      <c r="F26" s="3"/>
      <c r="G26" s="3"/>
      <c r="H26" s="3">
        <f t="shared" si="0"/>
        <v>0</v>
      </c>
      <c r="I26" s="3" t="e">
        <f t="shared" si="1"/>
        <v>#DIV/0!</v>
      </c>
      <c r="J26" s="3" t="e">
        <f t="shared" si="2"/>
        <v>#DIV/0!</v>
      </c>
    </row>
    <row r="27" spans="1:10">
      <c r="A27" s="19" t="s">
        <v>151</v>
      </c>
      <c r="B27" s="48" t="s">
        <v>38</v>
      </c>
      <c r="C27" s="3"/>
      <c r="D27" s="3">
        <v>120</v>
      </c>
      <c r="E27" s="3">
        <v>0</v>
      </c>
      <c r="F27" s="3">
        <v>129</v>
      </c>
      <c r="G27" s="3">
        <v>0</v>
      </c>
      <c r="H27" s="3">
        <f t="shared" si="0"/>
        <v>129</v>
      </c>
      <c r="I27" s="3" t="e">
        <f t="shared" si="1"/>
        <v>#DIV/0!</v>
      </c>
      <c r="J27" s="3">
        <f t="shared" si="2"/>
        <v>107.5</v>
      </c>
    </row>
    <row r="28" spans="1:10">
      <c r="A28" s="19" t="s">
        <v>152</v>
      </c>
      <c r="B28" s="48" t="s">
        <v>37</v>
      </c>
      <c r="C28" s="3"/>
      <c r="D28" s="3">
        <v>0</v>
      </c>
      <c r="E28" s="3"/>
      <c r="F28" s="3"/>
      <c r="G28" s="3">
        <v>0</v>
      </c>
      <c r="H28" s="3">
        <f t="shared" si="0"/>
        <v>0</v>
      </c>
      <c r="I28" s="3" t="e">
        <f t="shared" si="1"/>
        <v>#DIV/0!</v>
      </c>
      <c r="J28" s="3" t="e">
        <f t="shared" si="2"/>
        <v>#DIV/0!</v>
      </c>
    </row>
    <row r="29" spans="1:10" ht="25.5">
      <c r="A29" s="19" t="s">
        <v>153</v>
      </c>
      <c r="B29" s="47" t="s">
        <v>39</v>
      </c>
      <c r="C29" s="3"/>
      <c r="D29" s="3">
        <v>0</v>
      </c>
      <c r="E29" s="3">
        <v>0</v>
      </c>
      <c r="F29" s="3">
        <v>0</v>
      </c>
      <c r="G29" s="3">
        <v>0</v>
      </c>
      <c r="H29" s="3">
        <f t="shared" si="0"/>
        <v>0</v>
      </c>
      <c r="I29" s="3" t="e">
        <f t="shared" si="1"/>
        <v>#DIV/0!</v>
      </c>
      <c r="J29" s="3" t="e">
        <f t="shared" si="2"/>
        <v>#DIV/0!</v>
      </c>
    </row>
    <row r="30" spans="1:10" ht="38.25">
      <c r="A30" s="19">
        <v>1.5</v>
      </c>
      <c r="B30" s="46" t="s">
        <v>49</v>
      </c>
      <c r="C30" s="3" t="s">
        <v>13</v>
      </c>
      <c r="D30" s="3">
        <v>120</v>
      </c>
      <c r="E30" s="3">
        <v>40</v>
      </c>
      <c r="F30" s="3">
        <v>10</v>
      </c>
      <c r="G30" s="3">
        <v>0</v>
      </c>
      <c r="H30" s="3">
        <f t="shared" si="0"/>
        <v>10</v>
      </c>
      <c r="I30" s="3">
        <f t="shared" si="1"/>
        <v>25</v>
      </c>
      <c r="J30" s="4">
        <f t="shared" si="2"/>
        <v>8.3333333333333321</v>
      </c>
    </row>
    <row r="31" spans="1:10" ht="25.5">
      <c r="A31" s="19" t="s">
        <v>19</v>
      </c>
      <c r="B31" s="47" t="s">
        <v>40</v>
      </c>
      <c r="C31" s="3"/>
      <c r="D31" s="3">
        <v>120</v>
      </c>
      <c r="E31" s="3">
        <v>40</v>
      </c>
      <c r="F31" s="3">
        <v>10</v>
      </c>
      <c r="G31" s="3">
        <v>0</v>
      </c>
      <c r="H31" s="3">
        <f t="shared" si="0"/>
        <v>10</v>
      </c>
      <c r="I31" s="3">
        <f t="shared" si="1"/>
        <v>25</v>
      </c>
      <c r="J31" s="4">
        <f t="shared" si="2"/>
        <v>8.3333333333333321</v>
      </c>
    </row>
    <row r="32" spans="1:10" ht="38.25">
      <c r="A32" s="19" t="s">
        <v>20</v>
      </c>
      <c r="B32" s="47" t="s">
        <v>31</v>
      </c>
      <c r="C32" s="3"/>
      <c r="D32" s="3">
        <v>2</v>
      </c>
      <c r="E32" s="3">
        <v>0</v>
      </c>
      <c r="F32" s="3">
        <v>2</v>
      </c>
      <c r="G32" s="3">
        <v>0</v>
      </c>
      <c r="H32" s="3">
        <f t="shared" si="0"/>
        <v>2</v>
      </c>
      <c r="I32" s="3" t="e">
        <f t="shared" si="1"/>
        <v>#DIV/0!</v>
      </c>
      <c r="J32" s="3">
        <f t="shared" si="2"/>
        <v>100</v>
      </c>
    </row>
    <row r="33" spans="1:10" ht="38.25">
      <c r="A33" s="19" t="s">
        <v>30</v>
      </c>
      <c r="B33" s="47" t="s">
        <v>43</v>
      </c>
      <c r="C33" s="3"/>
      <c r="D33" s="3"/>
      <c r="E33" s="3"/>
      <c r="F33" s="3"/>
      <c r="G33" s="3">
        <v>0</v>
      </c>
      <c r="H33" s="3">
        <f>F33+G33</f>
        <v>0</v>
      </c>
      <c r="I33" s="3" t="e">
        <f t="shared" si="1"/>
        <v>#DIV/0!</v>
      </c>
      <c r="J33" s="3" t="e">
        <f t="shared" si="2"/>
        <v>#DIV/0!</v>
      </c>
    </row>
    <row r="34" spans="1:10">
      <c r="A34" s="68" t="s">
        <v>154</v>
      </c>
      <c r="B34" s="69"/>
      <c r="C34" s="69"/>
      <c r="D34" s="69"/>
      <c r="E34" s="69"/>
      <c r="F34" s="69"/>
      <c r="G34" s="69"/>
      <c r="H34" s="69"/>
      <c r="I34" s="69"/>
      <c r="J34" s="70"/>
    </row>
    <row r="35" spans="1:10" ht="76.5">
      <c r="A35" s="17"/>
      <c r="B35" s="46" t="s">
        <v>138</v>
      </c>
      <c r="C35" s="3" t="s">
        <v>34</v>
      </c>
      <c r="D35" s="3"/>
      <c r="E35" s="3"/>
      <c r="F35" s="3"/>
      <c r="G35" s="16"/>
      <c r="H35" s="3">
        <f>F35+G35</f>
        <v>0</v>
      </c>
      <c r="I35" s="3" t="e">
        <f>(H35/E35)*100</f>
        <v>#DIV/0!</v>
      </c>
      <c r="J35" s="3" t="e">
        <f>(H35/D35)*100</f>
        <v>#DIV/0!</v>
      </c>
    </row>
    <row r="36" spans="1:10" ht="38.25">
      <c r="A36" s="19">
        <v>2.1</v>
      </c>
      <c r="B36" s="47" t="s">
        <v>215</v>
      </c>
      <c r="C36" s="3"/>
      <c r="D36" s="3">
        <f>1600*1</f>
        <v>1600</v>
      </c>
      <c r="E36" s="20"/>
      <c r="F36" s="3">
        <v>2709.06</v>
      </c>
      <c r="G36" s="4">
        <v>671</v>
      </c>
      <c r="H36" s="4">
        <f>F36+G36</f>
        <v>3380.06</v>
      </c>
      <c r="I36" s="4" t="e">
        <f>(H36/E36)*100</f>
        <v>#DIV/0!</v>
      </c>
      <c r="J36" s="4">
        <f>(H36/D36)*100</f>
        <v>211.25375000000003</v>
      </c>
    </row>
    <row r="37" spans="1:10" ht="38.25">
      <c r="A37" s="19">
        <v>1.2</v>
      </c>
      <c r="B37" s="47" t="s">
        <v>44</v>
      </c>
      <c r="C37" s="3"/>
      <c r="D37" s="3">
        <v>100</v>
      </c>
      <c r="E37" s="3"/>
      <c r="F37" s="3">
        <v>74</v>
      </c>
      <c r="G37" s="3">
        <v>0</v>
      </c>
      <c r="H37" s="3">
        <f>F37+G37</f>
        <v>74</v>
      </c>
      <c r="I37" s="3" t="e">
        <f>(H37/E37)*100</f>
        <v>#DIV/0!</v>
      </c>
      <c r="J37" s="3">
        <f>(H37/D37)*100</f>
        <v>74</v>
      </c>
    </row>
    <row r="38" spans="1:10">
      <c r="A38" s="68" t="s">
        <v>200</v>
      </c>
      <c r="B38" s="69"/>
      <c r="C38" s="69"/>
      <c r="D38" s="69"/>
      <c r="E38" s="69"/>
      <c r="F38" s="69"/>
      <c r="G38" s="69"/>
      <c r="H38" s="69"/>
      <c r="I38" s="69"/>
      <c r="J38" s="70"/>
    </row>
    <row r="39" spans="1:10">
      <c r="A39" s="68" t="s">
        <v>155</v>
      </c>
      <c r="B39" s="70"/>
      <c r="C39" s="3"/>
      <c r="D39" s="3"/>
      <c r="E39" s="3"/>
      <c r="F39" s="3"/>
      <c r="G39" s="16"/>
      <c r="H39" s="3"/>
      <c r="I39" s="3"/>
      <c r="J39" s="3"/>
    </row>
    <row r="40" spans="1:10" ht="38.25">
      <c r="A40" s="19" t="s">
        <v>156</v>
      </c>
      <c r="B40" s="46" t="s">
        <v>144</v>
      </c>
      <c r="C40" s="3" t="s">
        <v>13</v>
      </c>
      <c r="D40" s="3">
        <v>1750</v>
      </c>
      <c r="E40" s="3">
        <v>2235</v>
      </c>
      <c r="F40" s="3">
        <v>2185</v>
      </c>
      <c r="G40" s="3">
        <v>851</v>
      </c>
      <c r="H40" s="3">
        <v>2235</v>
      </c>
      <c r="I40" s="4">
        <f t="shared" si="1"/>
        <v>100</v>
      </c>
      <c r="J40" s="4">
        <f t="shared" si="2"/>
        <v>127.71428571428571</v>
      </c>
    </row>
    <row r="41" spans="1:10">
      <c r="A41" s="19" t="s">
        <v>161</v>
      </c>
      <c r="B41" s="49" t="s">
        <v>0</v>
      </c>
      <c r="C41" s="3"/>
      <c r="D41" s="3"/>
      <c r="E41" s="3"/>
      <c r="F41" s="3"/>
      <c r="G41" s="3"/>
      <c r="H41" s="3">
        <f t="shared" si="0"/>
        <v>0</v>
      </c>
      <c r="I41" s="3" t="e">
        <f t="shared" si="1"/>
        <v>#DIV/0!</v>
      </c>
      <c r="J41" s="3" t="e">
        <f t="shared" si="2"/>
        <v>#DIV/0!</v>
      </c>
    </row>
    <row r="42" spans="1:10">
      <c r="A42" s="19" t="s">
        <v>162</v>
      </c>
      <c r="B42" s="49" t="s">
        <v>1</v>
      </c>
      <c r="C42" s="3"/>
      <c r="D42" s="3"/>
      <c r="E42" s="3"/>
      <c r="F42" s="3"/>
      <c r="G42" s="3"/>
      <c r="H42" s="3">
        <f t="shared" si="0"/>
        <v>0</v>
      </c>
      <c r="I42" s="3" t="e">
        <f t="shared" si="1"/>
        <v>#DIV/0!</v>
      </c>
      <c r="J42" s="3" t="e">
        <f t="shared" si="2"/>
        <v>#DIV/0!</v>
      </c>
    </row>
    <row r="43" spans="1:10">
      <c r="A43" s="19" t="s">
        <v>163</v>
      </c>
      <c r="B43" s="49" t="s">
        <v>2</v>
      </c>
      <c r="C43" s="3"/>
      <c r="D43" s="3"/>
      <c r="E43" s="3"/>
      <c r="F43" s="3"/>
      <c r="G43" s="3"/>
      <c r="H43" s="3">
        <f t="shared" si="0"/>
        <v>0</v>
      </c>
      <c r="I43" s="3" t="e">
        <f t="shared" si="1"/>
        <v>#DIV/0!</v>
      </c>
      <c r="J43" s="3" t="e">
        <f t="shared" si="2"/>
        <v>#DIV/0!</v>
      </c>
    </row>
    <row r="44" spans="1:10">
      <c r="A44" s="19" t="s">
        <v>164</v>
      </c>
      <c r="B44" s="49" t="s">
        <v>29</v>
      </c>
      <c r="C44" s="3"/>
      <c r="D44" s="3"/>
      <c r="E44" s="3"/>
      <c r="F44" s="3"/>
      <c r="G44" s="3"/>
      <c r="H44" s="3">
        <f t="shared" si="0"/>
        <v>0</v>
      </c>
      <c r="I44" s="3" t="e">
        <f t="shared" si="1"/>
        <v>#DIV/0!</v>
      </c>
      <c r="J44" s="3" t="e">
        <f t="shared" si="2"/>
        <v>#DIV/0!</v>
      </c>
    </row>
    <row r="45" spans="1:10" ht="25.5">
      <c r="A45" s="19" t="s">
        <v>157</v>
      </c>
      <c r="B45" s="46" t="s">
        <v>145</v>
      </c>
      <c r="C45" s="3" t="s">
        <v>13</v>
      </c>
      <c r="D45" s="3">
        <v>988</v>
      </c>
      <c r="E45" s="3">
        <v>652</v>
      </c>
      <c r="F45" s="3">
        <v>336</v>
      </c>
      <c r="G45" s="3">
        <v>168</v>
      </c>
      <c r="H45" s="3">
        <f t="shared" si="0"/>
        <v>504</v>
      </c>
      <c r="I45" s="4">
        <f t="shared" si="1"/>
        <v>77.300613496932513</v>
      </c>
      <c r="J45" s="4">
        <f t="shared" si="2"/>
        <v>51.012145748987855</v>
      </c>
    </row>
    <row r="46" spans="1:10">
      <c r="A46" s="19" t="s">
        <v>165</v>
      </c>
      <c r="B46" s="47" t="s">
        <v>113</v>
      </c>
      <c r="C46" s="3"/>
      <c r="D46" s="3">
        <v>844</v>
      </c>
      <c r="E46" s="3">
        <v>508</v>
      </c>
      <c r="F46" s="3">
        <v>502</v>
      </c>
      <c r="G46" s="3">
        <v>57</v>
      </c>
      <c r="H46" s="3">
        <f t="shared" si="0"/>
        <v>559</v>
      </c>
      <c r="I46" s="4">
        <f t="shared" si="1"/>
        <v>110.03937007874016</v>
      </c>
      <c r="J46" s="4">
        <f t="shared" si="2"/>
        <v>66.232227488151665</v>
      </c>
    </row>
    <row r="47" spans="1:10">
      <c r="A47" s="19" t="s">
        <v>166</v>
      </c>
      <c r="B47" s="47" t="s">
        <v>114</v>
      </c>
      <c r="C47" s="3"/>
      <c r="D47" s="3"/>
      <c r="E47" s="3"/>
      <c r="F47" s="3"/>
      <c r="G47" s="3"/>
      <c r="H47" s="3">
        <f t="shared" si="0"/>
        <v>0</v>
      </c>
      <c r="I47" s="3" t="e">
        <f t="shared" si="1"/>
        <v>#DIV/0!</v>
      </c>
      <c r="J47" s="3" t="e">
        <f t="shared" si="2"/>
        <v>#DIV/0!</v>
      </c>
    </row>
    <row r="48" spans="1:10">
      <c r="A48" s="19" t="s">
        <v>167</v>
      </c>
      <c r="B48" s="47" t="s">
        <v>115</v>
      </c>
      <c r="C48" s="3"/>
      <c r="D48" s="3">
        <v>144</v>
      </c>
      <c r="E48" s="3">
        <v>144</v>
      </c>
      <c r="F48" s="3">
        <v>2</v>
      </c>
      <c r="G48" s="3">
        <v>0</v>
      </c>
      <c r="H48" s="3">
        <f t="shared" si="0"/>
        <v>2</v>
      </c>
      <c r="I48" s="3">
        <f t="shared" si="1"/>
        <v>1.3888888888888888</v>
      </c>
      <c r="J48" s="3">
        <f t="shared" si="2"/>
        <v>1.3888888888888888</v>
      </c>
    </row>
    <row r="49" spans="1:10" ht="38.25">
      <c r="A49" s="19" t="s">
        <v>158</v>
      </c>
      <c r="B49" s="46" t="s">
        <v>146</v>
      </c>
      <c r="C49" s="3" t="s">
        <v>41</v>
      </c>
      <c r="D49" s="3">
        <v>45</v>
      </c>
      <c r="E49" s="3">
        <v>20</v>
      </c>
      <c r="F49" s="3">
        <v>19</v>
      </c>
      <c r="G49" s="3">
        <v>0</v>
      </c>
      <c r="H49" s="3">
        <f t="shared" si="0"/>
        <v>19</v>
      </c>
      <c r="I49" s="4">
        <f t="shared" si="1"/>
        <v>95</v>
      </c>
      <c r="J49" s="4">
        <f t="shared" si="2"/>
        <v>42.222222222222221</v>
      </c>
    </row>
    <row r="50" spans="1:10">
      <c r="A50" s="19" t="s">
        <v>168</v>
      </c>
      <c r="B50" s="47" t="s">
        <v>113</v>
      </c>
      <c r="C50" s="3"/>
      <c r="D50" s="3">
        <v>35</v>
      </c>
      <c r="E50" s="3">
        <v>16</v>
      </c>
      <c r="F50" s="3">
        <v>25</v>
      </c>
      <c r="G50" s="3">
        <v>1</v>
      </c>
      <c r="H50" s="3">
        <f t="shared" si="0"/>
        <v>26</v>
      </c>
      <c r="I50" s="4">
        <f t="shared" si="1"/>
        <v>162.5</v>
      </c>
      <c r="J50" s="3">
        <f t="shared" si="2"/>
        <v>74.285714285714292</v>
      </c>
    </row>
    <row r="51" spans="1:10">
      <c r="A51" s="19" t="s">
        <v>169</v>
      </c>
      <c r="B51" s="47" t="s">
        <v>114</v>
      </c>
      <c r="C51" s="3"/>
      <c r="D51" s="3"/>
      <c r="E51" s="3"/>
      <c r="F51" s="3"/>
      <c r="G51" s="3"/>
      <c r="H51" s="3">
        <f t="shared" si="0"/>
        <v>0</v>
      </c>
      <c r="I51" s="3" t="e">
        <f t="shared" si="1"/>
        <v>#DIV/0!</v>
      </c>
      <c r="J51" s="3" t="e">
        <f t="shared" si="2"/>
        <v>#DIV/0!</v>
      </c>
    </row>
    <row r="52" spans="1:10">
      <c r="A52" s="19" t="s">
        <v>170</v>
      </c>
      <c r="B52" s="47" t="s">
        <v>115</v>
      </c>
      <c r="C52" s="3"/>
      <c r="D52" s="3">
        <v>10</v>
      </c>
      <c r="E52" s="3">
        <v>4</v>
      </c>
      <c r="F52" s="3">
        <v>1</v>
      </c>
      <c r="G52" s="3">
        <v>0</v>
      </c>
      <c r="H52" s="3">
        <f t="shared" si="0"/>
        <v>1</v>
      </c>
      <c r="I52" s="3">
        <f t="shared" si="1"/>
        <v>25</v>
      </c>
      <c r="J52" s="3">
        <f t="shared" si="2"/>
        <v>10</v>
      </c>
    </row>
    <row r="53" spans="1:10" ht="25.5">
      <c r="A53" s="19" t="s">
        <v>159</v>
      </c>
      <c r="B53" s="46" t="s">
        <v>147</v>
      </c>
      <c r="C53" s="3" t="s">
        <v>41</v>
      </c>
      <c r="D53" s="3">
        <v>9</v>
      </c>
      <c r="E53" s="3">
        <v>7</v>
      </c>
      <c r="F53" s="3">
        <v>2</v>
      </c>
      <c r="G53" s="3">
        <v>0</v>
      </c>
      <c r="H53" s="3">
        <f t="shared" si="0"/>
        <v>2</v>
      </c>
      <c r="I53" s="4">
        <f t="shared" si="1"/>
        <v>28.571428571428569</v>
      </c>
      <c r="J53" s="4">
        <f t="shared" si="2"/>
        <v>22.222222222222221</v>
      </c>
    </row>
    <row r="54" spans="1:10">
      <c r="A54" s="19" t="s">
        <v>171</v>
      </c>
      <c r="B54" s="47" t="s">
        <v>113</v>
      </c>
      <c r="C54" s="3"/>
      <c r="D54" s="3">
        <v>9</v>
      </c>
      <c r="E54" s="3">
        <v>3</v>
      </c>
      <c r="F54" s="3">
        <v>1</v>
      </c>
      <c r="G54" s="3">
        <v>1</v>
      </c>
      <c r="H54" s="3">
        <f t="shared" si="0"/>
        <v>2</v>
      </c>
      <c r="I54" s="4">
        <f t="shared" si="1"/>
        <v>66.666666666666657</v>
      </c>
      <c r="J54" s="4">
        <f t="shared" si="2"/>
        <v>22.222222222222221</v>
      </c>
    </row>
    <row r="55" spans="1:10">
      <c r="A55" s="19" t="s">
        <v>172</v>
      </c>
      <c r="B55" s="47" t="s">
        <v>114</v>
      </c>
      <c r="C55" s="3"/>
      <c r="D55" s="3"/>
      <c r="E55" s="3"/>
      <c r="F55" s="3"/>
      <c r="G55" s="3"/>
      <c r="H55" s="3">
        <f t="shared" si="0"/>
        <v>0</v>
      </c>
      <c r="I55" s="3" t="e">
        <f t="shared" si="1"/>
        <v>#DIV/0!</v>
      </c>
      <c r="J55" s="3" t="e">
        <f t="shared" si="2"/>
        <v>#DIV/0!</v>
      </c>
    </row>
    <row r="56" spans="1:10">
      <c r="A56" s="19" t="s">
        <v>173</v>
      </c>
      <c r="B56" s="47" t="s">
        <v>115</v>
      </c>
      <c r="C56" s="3"/>
      <c r="D56" s="3">
        <v>0</v>
      </c>
      <c r="E56" s="3">
        <v>0</v>
      </c>
      <c r="F56" s="3"/>
      <c r="G56" s="3"/>
      <c r="H56" s="3">
        <f t="shared" si="0"/>
        <v>0</v>
      </c>
      <c r="I56" s="3" t="e">
        <f t="shared" si="1"/>
        <v>#DIV/0!</v>
      </c>
      <c r="J56" s="3" t="e">
        <f t="shared" si="2"/>
        <v>#DIV/0!</v>
      </c>
    </row>
    <row r="57" spans="1:10" ht="38.25">
      <c r="A57" s="19" t="s">
        <v>160</v>
      </c>
      <c r="B57" s="46" t="s">
        <v>50</v>
      </c>
      <c r="C57" s="3"/>
      <c r="D57" s="3"/>
      <c r="E57" s="3"/>
      <c r="F57" s="3"/>
      <c r="G57" s="3"/>
      <c r="H57" s="3">
        <f>F57+G57</f>
        <v>0</v>
      </c>
      <c r="I57" s="3" t="e">
        <f>(H57/E57)*100</f>
        <v>#DIV/0!</v>
      </c>
      <c r="J57" s="3" t="e">
        <f>(H57/D57)*100</f>
        <v>#DIV/0!</v>
      </c>
    </row>
    <row r="58" spans="1:10" ht="25.5">
      <c r="A58" s="19" t="s">
        <v>174</v>
      </c>
      <c r="B58" s="47" t="s">
        <v>206</v>
      </c>
      <c r="C58" s="3" t="s">
        <v>41</v>
      </c>
      <c r="D58" s="3">
        <v>24700</v>
      </c>
      <c r="E58" s="3">
        <v>16281</v>
      </c>
      <c r="F58" s="3">
        <v>12647</v>
      </c>
      <c r="G58" s="3">
        <v>1441</v>
      </c>
      <c r="H58" s="3">
        <f>F58+G58</f>
        <v>14088</v>
      </c>
      <c r="I58" s="4">
        <f>(H58/E58)*100</f>
        <v>86.53031140593329</v>
      </c>
      <c r="J58" s="4">
        <f>(H58/D58)*100</f>
        <v>57.036437246963565</v>
      </c>
    </row>
    <row r="59" spans="1:10" ht="25.5">
      <c r="A59" s="19" t="s">
        <v>175</v>
      </c>
      <c r="B59" s="50" t="s">
        <v>133</v>
      </c>
      <c r="C59" s="3" t="s">
        <v>41</v>
      </c>
      <c r="D59" s="3">
        <v>270</v>
      </c>
      <c r="E59" s="3">
        <v>197</v>
      </c>
      <c r="F59" s="3">
        <v>104</v>
      </c>
      <c r="G59" s="3">
        <v>14</v>
      </c>
      <c r="H59" s="3">
        <f>F59+G59</f>
        <v>118</v>
      </c>
      <c r="I59" s="4">
        <f>(H59/E59)*100</f>
        <v>59.898477157360411</v>
      </c>
      <c r="J59" s="4">
        <f>(H59/D59)*100</f>
        <v>43.703703703703702</v>
      </c>
    </row>
    <row r="60" spans="1:10" ht="25.5">
      <c r="A60" s="19" t="s">
        <v>176</v>
      </c>
      <c r="B60" s="50" t="s">
        <v>223</v>
      </c>
      <c r="C60" s="3" t="s">
        <v>41</v>
      </c>
      <c r="D60" s="3">
        <v>775</v>
      </c>
      <c r="E60" s="3">
        <v>439</v>
      </c>
      <c r="F60" s="3">
        <v>424</v>
      </c>
      <c r="G60" s="3">
        <v>88</v>
      </c>
      <c r="H60" s="3">
        <f>F60+G60</f>
        <v>512</v>
      </c>
      <c r="I60" s="4">
        <f>(H60/E60)*100</f>
        <v>116.62870159453303</v>
      </c>
      <c r="J60" s="4">
        <f>(H60/D60)*100</f>
        <v>66.064516129032256</v>
      </c>
    </row>
    <row r="61" spans="1:10">
      <c r="A61" s="19" t="s">
        <v>177</v>
      </c>
      <c r="B61" s="51" t="s">
        <v>124</v>
      </c>
      <c r="C61" s="13" t="s">
        <v>125</v>
      </c>
      <c r="D61" s="3">
        <v>2</v>
      </c>
      <c r="E61" s="3">
        <v>0</v>
      </c>
      <c r="F61" s="3">
        <v>2</v>
      </c>
      <c r="G61" s="3">
        <v>0</v>
      </c>
      <c r="H61" s="3">
        <f>F61+G61</f>
        <v>2</v>
      </c>
      <c r="I61" s="3" t="e">
        <f>(H61/E61)*100</f>
        <v>#DIV/0!</v>
      </c>
      <c r="J61" s="3">
        <f>(H61/D61)*100</f>
        <v>100</v>
      </c>
    </row>
    <row r="62" spans="1:10">
      <c r="A62" s="68" t="s">
        <v>178</v>
      </c>
      <c r="B62" s="70"/>
      <c r="C62" s="3"/>
      <c r="D62" s="3"/>
      <c r="E62" s="3"/>
      <c r="F62" s="3"/>
      <c r="G62" s="3"/>
      <c r="H62" s="3"/>
      <c r="I62" s="3"/>
      <c r="J62" s="3"/>
    </row>
    <row r="63" spans="1:10" ht="63.75">
      <c r="A63" s="17"/>
      <c r="B63" s="47" t="s">
        <v>119</v>
      </c>
      <c r="C63" s="3"/>
      <c r="D63" s="3"/>
      <c r="E63" s="3"/>
      <c r="F63" s="3"/>
      <c r="G63" s="16"/>
      <c r="H63" s="3"/>
      <c r="I63" s="3"/>
      <c r="J63" s="3"/>
    </row>
    <row r="64" spans="1:10">
      <c r="A64" s="19" t="s">
        <v>46</v>
      </c>
      <c r="B64" s="47" t="s">
        <v>134</v>
      </c>
      <c r="C64" s="3" t="s">
        <v>13</v>
      </c>
      <c r="D64" s="3"/>
      <c r="E64" s="3"/>
      <c r="F64" s="3"/>
      <c r="G64" s="16"/>
      <c r="H64" s="3"/>
      <c r="I64" s="3" t="e">
        <f t="shared" si="1"/>
        <v>#DIV/0!</v>
      </c>
      <c r="J64" s="3" t="e">
        <f t="shared" si="2"/>
        <v>#DIV/0!</v>
      </c>
    </row>
    <row r="65" spans="1:10" ht="25.5">
      <c r="A65" s="19" t="s">
        <v>28</v>
      </c>
      <c r="B65" s="47" t="s">
        <v>35</v>
      </c>
      <c r="C65" s="3" t="s">
        <v>214</v>
      </c>
      <c r="D65" s="3"/>
      <c r="E65" s="3"/>
      <c r="F65" s="3"/>
      <c r="G65" s="16"/>
      <c r="H65" s="3">
        <f t="shared" si="0"/>
        <v>0</v>
      </c>
      <c r="I65" s="3" t="e">
        <f t="shared" si="1"/>
        <v>#DIV/0!</v>
      </c>
      <c r="J65" s="3" t="e">
        <f t="shared" si="2"/>
        <v>#DIV/0!</v>
      </c>
    </row>
    <row r="66" spans="1:10" ht="63.75">
      <c r="A66" s="19">
        <v>3.3</v>
      </c>
      <c r="B66" s="46" t="s">
        <v>51</v>
      </c>
      <c r="C66" s="3"/>
      <c r="D66" s="3"/>
      <c r="E66" s="3"/>
      <c r="F66" s="3"/>
      <c r="G66" s="16"/>
      <c r="H66" s="3">
        <f t="shared" si="0"/>
        <v>0</v>
      </c>
      <c r="I66" s="3" t="e">
        <f t="shared" si="1"/>
        <v>#DIV/0!</v>
      </c>
      <c r="J66" s="3" t="e">
        <f t="shared" si="2"/>
        <v>#DIV/0!</v>
      </c>
    </row>
    <row r="67" spans="1:10">
      <c r="A67" s="19" t="s">
        <v>47</v>
      </c>
      <c r="B67" s="46" t="s">
        <v>224</v>
      </c>
      <c r="C67" s="3"/>
      <c r="D67" s="3">
        <v>100</v>
      </c>
      <c r="E67" s="3">
        <v>0</v>
      </c>
      <c r="F67" s="3">
        <v>55</v>
      </c>
      <c r="G67" s="16"/>
      <c r="H67" s="3">
        <f t="shared" si="0"/>
        <v>55</v>
      </c>
      <c r="I67" s="4" t="e">
        <f t="shared" si="1"/>
        <v>#DIV/0!</v>
      </c>
      <c r="J67" s="3">
        <f t="shared" si="2"/>
        <v>55.000000000000007</v>
      </c>
    </row>
    <row r="68" spans="1:10">
      <c r="A68" s="19" t="s">
        <v>179</v>
      </c>
      <c r="B68" s="46" t="s">
        <v>238</v>
      </c>
      <c r="C68" s="3"/>
      <c r="D68" s="3">
        <v>10</v>
      </c>
      <c r="E68" s="3">
        <v>10</v>
      </c>
      <c r="F68" s="3">
        <v>20</v>
      </c>
      <c r="G68" s="16"/>
      <c r="H68" s="3">
        <f t="shared" si="0"/>
        <v>20</v>
      </c>
      <c r="I68" s="3">
        <f t="shared" si="1"/>
        <v>200</v>
      </c>
      <c r="J68" s="3">
        <f t="shared" si="2"/>
        <v>200</v>
      </c>
    </row>
    <row r="69" spans="1:10">
      <c r="A69" s="19" t="s">
        <v>180</v>
      </c>
      <c r="B69" s="46" t="s">
        <v>239</v>
      </c>
      <c r="C69" s="3"/>
      <c r="D69" s="3">
        <v>25</v>
      </c>
      <c r="E69" s="3">
        <v>3</v>
      </c>
      <c r="F69" s="3">
        <v>22</v>
      </c>
      <c r="G69" s="16"/>
      <c r="H69" s="3">
        <f t="shared" si="0"/>
        <v>22</v>
      </c>
      <c r="I69" s="3">
        <f t="shared" si="1"/>
        <v>733.33333333333326</v>
      </c>
      <c r="J69" s="3">
        <f t="shared" si="2"/>
        <v>88</v>
      </c>
    </row>
    <row r="70" spans="1:10">
      <c r="A70" s="19" t="s">
        <v>181</v>
      </c>
      <c r="B70" s="46" t="s">
        <v>240</v>
      </c>
      <c r="C70" s="3"/>
      <c r="D70" s="3">
        <v>50</v>
      </c>
      <c r="E70" s="3">
        <v>0</v>
      </c>
      <c r="F70" s="3">
        <v>61</v>
      </c>
      <c r="G70" s="16"/>
      <c r="H70" s="3">
        <f t="shared" si="0"/>
        <v>61</v>
      </c>
      <c r="I70" s="3" t="e">
        <f t="shared" si="1"/>
        <v>#DIV/0!</v>
      </c>
      <c r="J70" s="3">
        <f t="shared" si="2"/>
        <v>122</v>
      </c>
    </row>
    <row r="71" spans="1:10">
      <c r="A71" s="19" t="s">
        <v>182</v>
      </c>
      <c r="B71" s="46" t="s">
        <v>244</v>
      </c>
      <c r="C71" s="3"/>
      <c r="D71" s="3">
        <v>0</v>
      </c>
      <c r="E71" s="3">
        <v>15</v>
      </c>
      <c r="F71" s="3">
        <v>23</v>
      </c>
      <c r="G71" s="16"/>
      <c r="H71" s="3">
        <f t="shared" si="0"/>
        <v>23</v>
      </c>
      <c r="I71" s="3">
        <f t="shared" si="1"/>
        <v>153.33333333333334</v>
      </c>
      <c r="J71" s="3" t="e">
        <f t="shared" si="2"/>
        <v>#DIV/0!</v>
      </c>
    </row>
    <row r="72" spans="1:10">
      <c r="A72" s="68" t="s">
        <v>183</v>
      </c>
      <c r="B72" s="69"/>
      <c r="C72" s="69"/>
      <c r="D72" s="69"/>
      <c r="E72" s="69"/>
      <c r="F72" s="69"/>
      <c r="G72" s="69"/>
      <c r="H72" s="69"/>
      <c r="I72" s="69"/>
      <c r="J72" s="70"/>
    </row>
    <row r="73" spans="1:10" ht="40.5">
      <c r="A73" s="17"/>
      <c r="B73" s="52" t="s">
        <v>52</v>
      </c>
      <c r="C73" s="3"/>
      <c r="D73" s="3"/>
      <c r="E73" s="3"/>
      <c r="F73" s="3"/>
      <c r="G73" s="16"/>
      <c r="H73" s="3"/>
      <c r="I73" s="3"/>
      <c r="J73" s="3"/>
    </row>
    <row r="74" spans="1:10" ht="51">
      <c r="A74" s="19">
        <v>4.0999999999999996</v>
      </c>
      <c r="B74" s="47" t="s">
        <v>216</v>
      </c>
      <c r="C74" s="3" t="s">
        <v>36</v>
      </c>
      <c r="D74" s="3">
        <v>16</v>
      </c>
      <c r="E74" s="3">
        <v>16</v>
      </c>
      <c r="F74" s="3">
        <v>6.77</v>
      </c>
      <c r="G74" s="16"/>
      <c r="H74" s="3">
        <f t="shared" si="0"/>
        <v>6.77</v>
      </c>
      <c r="I74" s="4">
        <f t="shared" si="1"/>
        <v>42.3125</v>
      </c>
      <c r="J74" s="4">
        <f t="shared" si="2"/>
        <v>42.3125</v>
      </c>
    </row>
    <row r="75" spans="1:10">
      <c r="A75" s="19"/>
      <c r="B75" s="47" t="s">
        <v>232</v>
      </c>
      <c r="C75" s="3" t="s">
        <v>36</v>
      </c>
      <c r="D75" s="3">
        <v>12</v>
      </c>
      <c r="E75" s="3"/>
      <c r="F75" s="3">
        <v>9.77</v>
      </c>
      <c r="G75" s="3">
        <v>0</v>
      </c>
      <c r="H75" s="3">
        <f t="shared" ref="H75:H86" si="3">F75+G75</f>
        <v>9.77</v>
      </c>
      <c r="I75" s="3" t="e">
        <f t="shared" ref="I75:I99" si="4">(H75/E75)*100</f>
        <v>#DIV/0!</v>
      </c>
      <c r="J75" s="3">
        <f t="shared" ref="J75:J99" si="5">(H75/D75)*100</f>
        <v>81.416666666666657</v>
      </c>
    </row>
    <row r="76" spans="1:10">
      <c r="A76" s="19"/>
      <c r="B76" s="47" t="s">
        <v>233</v>
      </c>
      <c r="C76" s="3" t="s">
        <v>36</v>
      </c>
      <c r="D76" s="3">
        <v>4</v>
      </c>
      <c r="E76" s="3"/>
      <c r="F76" s="3">
        <v>2.75</v>
      </c>
      <c r="G76" s="3">
        <v>0</v>
      </c>
      <c r="H76" s="3">
        <f t="shared" si="3"/>
        <v>2.75</v>
      </c>
      <c r="I76" s="3" t="e">
        <f t="shared" si="4"/>
        <v>#DIV/0!</v>
      </c>
      <c r="J76" s="3">
        <f t="shared" si="5"/>
        <v>68.75</v>
      </c>
    </row>
    <row r="77" spans="1:10">
      <c r="A77" s="19"/>
      <c r="B77" s="47" t="s">
        <v>234</v>
      </c>
      <c r="C77" s="3" t="s">
        <v>36</v>
      </c>
      <c r="D77" s="3">
        <v>150</v>
      </c>
      <c r="E77" s="3"/>
      <c r="F77" s="3">
        <v>114.29</v>
      </c>
      <c r="G77" s="3">
        <v>0</v>
      </c>
      <c r="H77" s="3">
        <f t="shared" si="3"/>
        <v>114.29</v>
      </c>
      <c r="I77" s="3" t="e">
        <f t="shared" si="4"/>
        <v>#DIV/0!</v>
      </c>
      <c r="J77" s="3">
        <f t="shared" si="5"/>
        <v>76.193333333333328</v>
      </c>
    </row>
    <row r="78" spans="1:10">
      <c r="A78" s="19"/>
      <c r="B78" s="47" t="s">
        <v>235</v>
      </c>
      <c r="C78" s="3" t="s">
        <v>36</v>
      </c>
      <c r="D78" s="3">
        <v>25</v>
      </c>
      <c r="E78" s="3"/>
      <c r="F78" s="3">
        <v>37.299999999999997</v>
      </c>
      <c r="G78" s="3">
        <v>0</v>
      </c>
      <c r="H78" s="3">
        <f t="shared" si="3"/>
        <v>37.299999999999997</v>
      </c>
      <c r="I78" s="3" t="e">
        <f t="shared" si="4"/>
        <v>#DIV/0!</v>
      </c>
      <c r="J78" s="3">
        <f t="shared" si="5"/>
        <v>149.19999999999999</v>
      </c>
    </row>
    <row r="79" spans="1:10">
      <c r="A79" s="19"/>
      <c r="B79" s="47" t="s">
        <v>245</v>
      </c>
      <c r="C79" s="3" t="s">
        <v>36</v>
      </c>
      <c r="D79" s="3">
        <v>100</v>
      </c>
      <c r="E79" s="3"/>
      <c r="F79" s="3">
        <v>0</v>
      </c>
      <c r="G79" s="3">
        <v>0</v>
      </c>
      <c r="H79" s="3">
        <f t="shared" si="3"/>
        <v>0</v>
      </c>
      <c r="I79" s="3" t="e">
        <f t="shared" si="4"/>
        <v>#DIV/0!</v>
      </c>
      <c r="J79" s="3">
        <f t="shared" si="5"/>
        <v>0</v>
      </c>
    </row>
    <row r="80" spans="1:10" ht="25.5">
      <c r="A80" s="19">
        <v>4.2</v>
      </c>
      <c r="B80" s="47" t="s">
        <v>220</v>
      </c>
      <c r="C80" s="3" t="s">
        <v>13</v>
      </c>
      <c r="D80" s="3">
        <v>0</v>
      </c>
      <c r="E80" s="3"/>
      <c r="F80" s="3"/>
      <c r="G80" s="3"/>
      <c r="H80" s="3">
        <f t="shared" si="3"/>
        <v>0</v>
      </c>
      <c r="I80" s="3" t="e">
        <f t="shared" si="4"/>
        <v>#DIV/0!</v>
      </c>
      <c r="J80" s="3" t="e">
        <f t="shared" si="5"/>
        <v>#DIV/0!</v>
      </c>
    </row>
    <row r="81" spans="1:10">
      <c r="A81" s="19"/>
      <c r="B81" s="47" t="s">
        <v>0</v>
      </c>
      <c r="C81" s="3" t="s">
        <v>13</v>
      </c>
      <c r="D81" s="3"/>
      <c r="E81" s="3"/>
      <c r="F81" s="3">
        <v>59</v>
      </c>
      <c r="G81" s="3">
        <v>0</v>
      </c>
      <c r="H81" s="3">
        <f t="shared" si="3"/>
        <v>59</v>
      </c>
      <c r="I81" s="3" t="e">
        <f t="shared" si="4"/>
        <v>#DIV/0!</v>
      </c>
      <c r="J81" s="3" t="e">
        <f t="shared" si="5"/>
        <v>#DIV/0!</v>
      </c>
    </row>
    <row r="82" spans="1:10">
      <c r="A82" s="19"/>
      <c r="B82" s="47" t="s">
        <v>1</v>
      </c>
      <c r="C82" s="3" t="s">
        <v>13</v>
      </c>
      <c r="D82" s="3"/>
      <c r="E82" s="3"/>
      <c r="F82" s="3">
        <v>16</v>
      </c>
      <c r="G82" s="3">
        <v>0</v>
      </c>
      <c r="H82" s="3">
        <f t="shared" si="3"/>
        <v>16</v>
      </c>
      <c r="I82" s="3" t="e">
        <f t="shared" si="4"/>
        <v>#DIV/0!</v>
      </c>
      <c r="J82" s="3" t="e">
        <f t="shared" si="5"/>
        <v>#DIV/0!</v>
      </c>
    </row>
    <row r="83" spans="1:10">
      <c r="A83" s="19"/>
      <c r="B83" s="47" t="s">
        <v>221</v>
      </c>
      <c r="C83" s="3" t="s">
        <v>13</v>
      </c>
      <c r="D83" s="3"/>
      <c r="E83" s="3"/>
      <c r="F83" s="3"/>
      <c r="G83" s="3"/>
      <c r="H83" s="3">
        <f t="shared" si="3"/>
        <v>0</v>
      </c>
      <c r="I83" s="3" t="e">
        <f t="shared" si="4"/>
        <v>#DIV/0!</v>
      </c>
      <c r="J83" s="3" t="e">
        <f t="shared" si="5"/>
        <v>#DIV/0!</v>
      </c>
    </row>
    <row r="84" spans="1:10">
      <c r="A84" s="19"/>
      <c r="B84" s="47" t="s">
        <v>222</v>
      </c>
      <c r="C84" s="3" t="s">
        <v>13</v>
      </c>
      <c r="D84" s="3"/>
      <c r="E84" s="3"/>
      <c r="F84" s="3">
        <v>9</v>
      </c>
      <c r="G84" s="3">
        <v>0</v>
      </c>
      <c r="H84" s="3">
        <f t="shared" si="3"/>
        <v>9</v>
      </c>
      <c r="I84" s="3" t="e">
        <f t="shared" si="4"/>
        <v>#DIV/0!</v>
      </c>
      <c r="J84" s="3" t="e">
        <f t="shared" si="5"/>
        <v>#DIV/0!</v>
      </c>
    </row>
    <row r="85" spans="1:10" ht="25.5">
      <c r="A85" s="19">
        <v>4.3</v>
      </c>
      <c r="B85" s="47" t="s">
        <v>149</v>
      </c>
      <c r="C85" s="3" t="s">
        <v>36</v>
      </c>
      <c r="D85" s="3">
        <v>0</v>
      </c>
      <c r="E85" s="3"/>
      <c r="F85" s="3"/>
      <c r="G85" s="3"/>
      <c r="H85" s="3">
        <f t="shared" si="3"/>
        <v>0</v>
      </c>
      <c r="I85" s="3" t="e">
        <f t="shared" si="4"/>
        <v>#DIV/0!</v>
      </c>
      <c r="J85" s="3" t="e">
        <f t="shared" si="5"/>
        <v>#DIV/0!</v>
      </c>
    </row>
    <row r="86" spans="1:10">
      <c r="A86" s="19"/>
      <c r="B86" s="47" t="s">
        <v>217</v>
      </c>
      <c r="C86" s="3" t="s">
        <v>36</v>
      </c>
      <c r="D86" s="3" t="s">
        <v>236</v>
      </c>
      <c r="E86" s="3"/>
      <c r="F86" s="3"/>
      <c r="G86" s="16"/>
      <c r="H86" s="3">
        <f t="shared" si="3"/>
        <v>0</v>
      </c>
      <c r="I86" s="3" t="e">
        <f t="shared" si="4"/>
        <v>#DIV/0!</v>
      </c>
      <c r="J86" s="3" t="e">
        <f t="shared" si="5"/>
        <v>#VALUE!</v>
      </c>
    </row>
    <row r="87" spans="1:10">
      <c r="A87" s="19"/>
      <c r="B87" s="47" t="s">
        <v>218</v>
      </c>
      <c r="C87" s="3" t="s">
        <v>36</v>
      </c>
      <c r="D87" s="3" t="s">
        <v>236</v>
      </c>
      <c r="E87" s="3"/>
      <c r="F87" s="3"/>
      <c r="G87" s="16"/>
      <c r="H87" s="3">
        <f>F87+G87</f>
        <v>0</v>
      </c>
      <c r="I87" s="3" t="e">
        <f t="shared" si="4"/>
        <v>#DIV/0!</v>
      </c>
      <c r="J87" s="3" t="e">
        <f t="shared" si="5"/>
        <v>#VALUE!</v>
      </c>
    </row>
    <row r="88" spans="1:10">
      <c r="A88" s="19"/>
      <c r="B88" s="47" t="s">
        <v>219</v>
      </c>
      <c r="C88" s="3" t="s">
        <v>36</v>
      </c>
      <c r="D88" s="3" t="s">
        <v>236</v>
      </c>
      <c r="E88" s="3"/>
      <c r="F88" s="3"/>
      <c r="G88" s="16"/>
      <c r="H88" s="3">
        <f>F88+G88</f>
        <v>0</v>
      </c>
      <c r="I88" s="3" t="e">
        <f t="shared" si="4"/>
        <v>#DIV/0!</v>
      </c>
      <c r="J88" s="3" t="e">
        <f t="shared" si="5"/>
        <v>#VALUE!</v>
      </c>
    </row>
    <row r="89" spans="1:10">
      <c r="A89" s="68" t="s">
        <v>184</v>
      </c>
      <c r="B89" s="70"/>
      <c r="C89" s="3"/>
      <c r="D89" s="3"/>
      <c r="E89" s="3"/>
      <c r="F89" s="3"/>
      <c r="G89" s="16"/>
      <c r="H89" s="3"/>
      <c r="I89" s="3"/>
      <c r="J89" s="3"/>
    </row>
    <row r="90" spans="1:10" ht="54">
      <c r="A90" s="17" t="s">
        <v>185</v>
      </c>
      <c r="B90" s="53" t="s">
        <v>53</v>
      </c>
      <c r="C90" s="3"/>
      <c r="D90" s="3"/>
      <c r="E90" s="3"/>
      <c r="F90" s="3"/>
      <c r="G90" s="16"/>
      <c r="H90" s="3"/>
      <c r="I90" s="3"/>
      <c r="J90" s="3"/>
    </row>
    <row r="91" spans="1:10">
      <c r="A91" s="3" t="s">
        <v>187</v>
      </c>
      <c r="B91" s="54" t="s">
        <v>27</v>
      </c>
      <c r="C91" s="3"/>
      <c r="D91" s="3"/>
      <c r="E91" s="3"/>
      <c r="F91" s="3"/>
      <c r="G91" s="16"/>
      <c r="H91" s="3">
        <f t="shared" ref="H91:H104" si="6">F91+G91</f>
        <v>0</v>
      </c>
      <c r="I91" s="3" t="e">
        <f t="shared" si="4"/>
        <v>#DIV/0!</v>
      </c>
      <c r="J91" s="3" t="e">
        <f t="shared" si="5"/>
        <v>#DIV/0!</v>
      </c>
    </row>
    <row r="92" spans="1:10">
      <c r="A92" s="3" t="s">
        <v>188</v>
      </c>
      <c r="B92" s="54" t="s">
        <v>6</v>
      </c>
      <c r="C92" s="3"/>
      <c r="D92" s="3"/>
      <c r="E92" s="3"/>
      <c r="F92" s="3"/>
      <c r="G92" s="16"/>
      <c r="H92" s="3">
        <f t="shared" si="6"/>
        <v>0</v>
      </c>
      <c r="I92" s="3" t="e">
        <f t="shared" si="4"/>
        <v>#DIV/0!</v>
      </c>
      <c r="J92" s="3" t="e">
        <f t="shared" si="5"/>
        <v>#DIV/0!</v>
      </c>
    </row>
    <row r="93" spans="1:10">
      <c r="A93" s="3" t="s">
        <v>189</v>
      </c>
      <c r="B93" s="54" t="s">
        <v>7</v>
      </c>
      <c r="C93" s="3"/>
      <c r="D93" s="3">
        <v>150</v>
      </c>
      <c r="E93" s="3">
        <v>105</v>
      </c>
      <c r="F93" s="3">
        <v>45</v>
      </c>
      <c r="G93" s="3">
        <v>0</v>
      </c>
      <c r="H93" s="3">
        <f t="shared" si="6"/>
        <v>45</v>
      </c>
      <c r="I93" s="3">
        <f t="shared" si="4"/>
        <v>42.857142857142854</v>
      </c>
      <c r="J93" s="3">
        <f t="shared" si="5"/>
        <v>30</v>
      </c>
    </row>
    <row r="94" spans="1:10">
      <c r="A94" s="3" t="s">
        <v>190</v>
      </c>
      <c r="B94" s="54" t="s">
        <v>8</v>
      </c>
      <c r="C94" s="3"/>
      <c r="D94" s="3">
        <v>1600</v>
      </c>
      <c r="E94" s="3">
        <f>2235-150-F94</f>
        <v>867</v>
      </c>
      <c r="F94" s="3">
        <v>1218</v>
      </c>
      <c r="G94" s="3">
        <v>0</v>
      </c>
      <c r="H94" s="3">
        <f t="shared" si="6"/>
        <v>1218</v>
      </c>
      <c r="I94" s="3">
        <f t="shared" si="4"/>
        <v>140.48442906574394</v>
      </c>
      <c r="J94" s="3">
        <f t="shared" si="5"/>
        <v>76.125</v>
      </c>
    </row>
    <row r="95" spans="1:10">
      <c r="A95" s="3" t="s">
        <v>186</v>
      </c>
      <c r="B95" s="55" t="s">
        <v>3</v>
      </c>
      <c r="C95" s="3"/>
      <c r="D95" s="3"/>
      <c r="E95" s="3"/>
      <c r="F95" s="3"/>
      <c r="G95" s="3"/>
      <c r="H95" s="3"/>
      <c r="I95" s="3"/>
      <c r="J95" s="3"/>
    </row>
    <row r="96" spans="1:10">
      <c r="A96" s="3" t="s">
        <v>191</v>
      </c>
      <c r="B96" s="55" t="s">
        <v>22</v>
      </c>
      <c r="C96" s="3"/>
      <c r="D96" s="3"/>
      <c r="E96" s="3"/>
      <c r="F96" s="3"/>
      <c r="G96" s="3"/>
      <c r="H96" s="3"/>
      <c r="I96" s="3"/>
      <c r="J96" s="3"/>
    </row>
    <row r="97" spans="1:10">
      <c r="A97" s="3" t="s">
        <v>192</v>
      </c>
      <c r="B97" s="54" t="s">
        <v>23</v>
      </c>
      <c r="C97" s="3"/>
      <c r="D97" s="3">
        <v>0</v>
      </c>
      <c r="E97" s="3"/>
      <c r="F97" s="3"/>
      <c r="G97" s="3"/>
      <c r="H97" s="3">
        <f t="shared" si="6"/>
        <v>0</v>
      </c>
      <c r="I97" s="3" t="e">
        <f t="shared" si="4"/>
        <v>#DIV/0!</v>
      </c>
      <c r="J97" s="3" t="e">
        <f t="shared" si="5"/>
        <v>#DIV/0!</v>
      </c>
    </row>
    <row r="98" spans="1:10">
      <c r="A98" s="3" t="s">
        <v>193</v>
      </c>
      <c r="B98" s="54" t="s">
        <v>24</v>
      </c>
      <c r="C98" s="3"/>
      <c r="D98" s="3">
        <v>0</v>
      </c>
      <c r="E98" s="3"/>
      <c r="F98" s="3"/>
      <c r="G98" s="3"/>
      <c r="H98" s="3">
        <f t="shared" si="6"/>
        <v>0</v>
      </c>
      <c r="I98" s="3" t="e">
        <f t="shared" si="4"/>
        <v>#DIV/0!</v>
      </c>
      <c r="J98" s="3" t="e">
        <f t="shared" si="5"/>
        <v>#DIV/0!</v>
      </c>
    </row>
    <row r="99" spans="1:10">
      <c r="A99" s="3" t="s">
        <v>194</v>
      </c>
      <c r="B99" s="54" t="s">
        <v>25</v>
      </c>
      <c r="C99" s="3"/>
      <c r="D99" s="3">
        <v>0</v>
      </c>
      <c r="E99" s="3"/>
      <c r="F99" s="3"/>
      <c r="G99" s="3"/>
      <c r="H99" s="3">
        <f t="shared" si="6"/>
        <v>0</v>
      </c>
      <c r="I99" s="3" t="e">
        <f t="shared" si="4"/>
        <v>#DIV/0!</v>
      </c>
      <c r="J99" s="3" t="e">
        <f t="shared" si="5"/>
        <v>#DIV/0!</v>
      </c>
    </row>
    <row r="100" spans="1:10">
      <c r="A100" s="3" t="s">
        <v>195</v>
      </c>
      <c r="B100" s="54" t="s">
        <v>26</v>
      </c>
      <c r="C100" s="3"/>
      <c r="D100" s="3">
        <v>1600</v>
      </c>
      <c r="E100" s="3">
        <f>2235-F100</f>
        <v>1137</v>
      </c>
      <c r="F100" s="3">
        <v>1098</v>
      </c>
      <c r="G100" s="3">
        <v>0</v>
      </c>
      <c r="H100" s="3">
        <f t="shared" si="6"/>
        <v>1098</v>
      </c>
      <c r="I100" s="4">
        <f>(H100/E100)*100</f>
        <v>96.569920844327171</v>
      </c>
      <c r="J100" s="3">
        <f>(H100/D100)*100</f>
        <v>68.625</v>
      </c>
    </row>
    <row r="101" spans="1:10">
      <c r="A101" s="68" t="s">
        <v>196</v>
      </c>
      <c r="B101" s="70"/>
      <c r="C101" s="3"/>
      <c r="D101" s="3"/>
      <c r="E101" s="3"/>
      <c r="F101" s="3"/>
      <c r="G101" s="3"/>
      <c r="H101" s="3"/>
      <c r="I101" s="3"/>
      <c r="J101" s="3"/>
    </row>
    <row r="102" spans="1:10">
      <c r="A102" s="3" t="s">
        <v>197</v>
      </c>
      <c r="B102" s="56" t="s">
        <v>45</v>
      </c>
      <c r="C102" s="3"/>
      <c r="D102" s="3"/>
      <c r="E102" s="3"/>
      <c r="F102" s="3"/>
      <c r="G102" s="3"/>
      <c r="H102" s="3"/>
      <c r="I102" s="3"/>
      <c r="J102" s="3"/>
    </row>
    <row r="103" spans="1:10" ht="63.75">
      <c r="A103" s="3" t="s">
        <v>198</v>
      </c>
      <c r="B103" s="57" t="s">
        <v>208</v>
      </c>
      <c r="C103" s="3" t="s">
        <v>21</v>
      </c>
      <c r="D103" s="3">
        <v>50</v>
      </c>
      <c r="E103" s="3"/>
      <c r="F103" s="3">
        <v>18</v>
      </c>
      <c r="G103" s="3">
        <v>1</v>
      </c>
      <c r="H103" s="3">
        <f t="shared" si="6"/>
        <v>19</v>
      </c>
      <c r="I103" s="3" t="e">
        <f>(H103/E103)*100</f>
        <v>#DIV/0!</v>
      </c>
      <c r="J103" s="3">
        <f>(H103/D103)*100</f>
        <v>38</v>
      </c>
    </row>
    <row r="104" spans="1:10" ht="38.25">
      <c r="A104" s="3" t="s">
        <v>199</v>
      </c>
      <c r="B104" s="48" t="s">
        <v>135</v>
      </c>
      <c r="C104" s="3"/>
      <c r="D104" s="3">
        <v>10</v>
      </c>
      <c r="E104" s="3">
        <v>0</v>
      </c>
      <c r="F104" s="3">
        <v>10</v>
      </c>
      <c r="G104" s="3">
        <v>0</v>
      </c>
      <c r="H104" s="3">
        <f t="shared" si="6"/>
        <v>10</v>
      </c>
      <c r="I104" s="3" t="e">
        <f>(H104/E104)*100</f>
        <v>#DIV/0!</v>
      </c>
      <c r="J104" s="3">
        <f>(H104/D104)*100</f>
        <v>100</v>
      </c>
    </row>
  </sheetData>
  <mergeCells count="9">
    <mergeCell ref="A10:J10"/>
    <mergeCell ref="A38:J38"/>
    <mergeCell ref="C2:J2"/>
    <mergeCell ref="A101:B101"/>
    <mergeCell ref="A89:B89"/>
    <mergeCell ref="A72:J72"/>
    <mergeCell ref="A62:B62"/>
    <mergeCell ref="A39:B39"/>
    <mergeCell ref="A34:J34"/>
  </mergeCells>
  <phoneticPr fontId="19" type="noConversion"/>
  <printOptions horizontalCentered="1"/>
  <pageMargins left="0.16" right="0.16" top="0.24" bottom="0.23" header="0.17" footer="0.17"/>
  <pageSetup paperSize="9" scale="92" fitToWidth="0" fitToHeight="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F19"/>
  <sheetViews>
    <sheetView tabSelected="1" workbookViewId="0">
      <selection activeCell="N10" sqref="N10"/>
    </sheetView>
  </sheetViews>
  <sheetFormatPr defaultColWidth="9.140625" defaultRowHeight="12.75"/>
  <cols>
    <col min="1" max="1" width="4" style="37" customWidth="1"/>
    <col min="2" max="2" width="7.28515625" style="37" customWidth="1"/>
    <col min="3" max="3" width="40.28515625" style="37" customWidth="1"/>
    <col min="4" max="4" width="21.140625" style="37" bestFit="1" customWidth="1"/>
    <col min="5" max="5" width="13" style="37" customWidth="1"/>
    <col min="6" max="6" width="14.42578125" style="37" customWidth="1"/>
    <col min="7" max="16384" width="9.140625" style="37"/>
  </cols>
  <sheetData>
    <row r="6" spans="2:6" ht="59.25" customHeight="1">
      <c r="B6" s="35" t="s">
        <v>106</v>
      </c>
      <c r="C6" s="35" t="s">
        <v>107</v>
      </c>
      <c r="D6" s="36" t="s">
        <v>137</v>
      </c>
      <c r="E6" s="36" t="s">
        <v>127</v>
      </c>
      <c r="F6" s="36" t="s">
        <v>108</v>
      </c>
    </row>
    <row r="7" spans="2:6" ht="13.5">
      <c r="B7" s="35"/>
      <c r="C7" s="35" t="s">
        <v>201</v>
      </c>
      <c r="D7" s="36">
        <f>'[1]quarterly Progress report'!H12</f>
        <v>15</v>
      </c>
      <c r="E7" s="36">
        <f>'[1]quarterly Progress report'!I12</f>
        <v>60</v>
      </c>
      <c r="F7" s="36">
        <f>'[1]quarterly Progress report'!J12</f>
        <v>37.5</v>
      </c>
    </row>
    <row r="8" spans="2:6">
      <c r="B8" s="38">
        <v>1</v>
      </c>
      <c r="C8" s="38" t="s">
        <v>109</v>
      </c>
      <c r="D8" s="39">
        <f>'[1]quarterly Progress report'!H16</f>
        <v>2235</v>
      </c>
      <c r="E8" s="39" t="e">
        <f>'[1]quarterly Progress report'!I16</f>
        <v>#DIV/0!</v>
      </c>
      <c r="F8" s="40">
        <f>'[1]quarterly Progress report'!J16</f>
        <v>127.71428571428571</v>
      </c>
    </row>
    <row r="9" spans="2:6">
      <c r="B9" s="38">
        <v>2</v>
      </c>
      <c r="C9" s="38" t="s">
        <v>141</v>
      </c>
      <c r="D9" s="39">
        <f>'[1]quarterly Progress report'!H21</f>
        <v>1672</v>
      </c>
      <c r="E9" s="40">
        <f>'[1]quarterly Progress report'!I21</f>
        <v>95.542857142857144</v>
      </c>
      <c r="F9" s="40">
        <f>'[1]quarterly Progress report'!J21</f>
        <v>95.542857142857144</v>
      </c>
    </row>
    <row r="10" spans="2:6" ht="33.75" customHeight="1">
      <c r="B10" s="38">
        <v>3</v>
      </c>
      <c r="C10" s="19" t="s">
        <v>136</v>
      </c>
      <c r="D10" s="41">
        <f>'[1]quarterly Progress report'!H36</f>
        <v>2234.06</v>
      </c>
      <c r="E10" s="41">
        <f>'[1]quarterly Progress report'!I36</f>
        <v>421.52075471698112</v>
      </c>
      <c r="F10" s="41">
        <f>'[1]quarterly Progress report'!J36</f>
        <v>139.62875</v>
      </c>
    </row>
    <row r="11" spans="2:6">
      <c r="B11" s="38">
        <v>4</v>
      </c>
      <c r="C11" s="19" t="s">
        <v>139</v>
      </c>
      <c r="D11" s="38">
        <f>'[1]quarterly Progress report'!H40</f>
        <v>2185</v>
      </c>
      <c r="E11" s="41">
        <f>'[1]quarterly Progress report'!I40</f>
        <v>97.762863534675617</v>
      </c>
      <c r="F11" s="41">
        <f>'[1]quarterly Progress report'!J40</f>
        <v>124.85714285714286</v>
      </c>
    </row>
    <row r="12" spans="2:6" ht="21" customHeight="1">
      <c r="B12" s="38">
        <v>5</v>
      </c>
      <c r="C12" s="19" t="s">
        <v>140</v>
      </c>
      <c r="D12" s="38">
        <f>'[1]quarterly Progress report'!H30</f>
        <v>10</v>
      </c>
      <c r="E12" s="38">
        <f>'[1]quarterly Progress report'!I30</f>
        <v>25</v>
      </c>
      <c r="F12" s="41">
        <f>'[1]quarterly Progress report'!J30</f>
        <v>8.3333333333333321</v>
      </c>
    </row>
    <row r="13" spans="2:6" ht="21" customHeight="1">
      <c r="B13" s="38">
        <v>6</v>
      </c>
      <c r="C13" s="19" t="s">
        <v>202</v>
      </c>
      <c r="D13" s="38">
        <f>'[1]quarterly Progress report'!H58</f>
        <v>8419</v>
      </c>
      <c r="E13" s="41">
        <f>'[1]quarterly Progress report'!I58</f>
        <v>99.633136094674555</v>
      </c>
      <c r="F13" s="41">
        <f>'[1]quarterly Progress report'!J58</f>
        <v>34.085020242914979</v>
      </c>
    </row>
    <row r="14" spans="2:6" ht="25.5">
      <c r="B14" s="38">
        <v>7</v>
      </c>
      <c r="C14" s="19" t="s">
        <v>203</v>
      </c>
      <c r="D14" s="38">
        <f>'[1]quarterly Progress report'!H60</f>
        <v>336</v>
      </c>
      <c r="E14" s="41">
        <f>'[1]quarterly Progress report'!I60</f>
        <v>108.38709677419357</v>
      </c>
      <c r="F14" s="41">
        <f>'[1]quarterly Progress report'!J60</f>
        <v>43.354838709677416</v>
      </c>
    </row>
    <row r="15" spans="2:6" ht="25.5">
      <c r="B15" s="38">
        <v>8</v>
      </c>
      <c r="C15" s="19" t="s">
        <v>207</v>
      </c>
      <c r="D15" s="38">
        <f>'[1]quarterly Progress report'!H59</f>
        <v>73</v>
      </c>
      <c r="E15" s="41">
        <f>'[1]quarterly Progress report'!I59</f>
        <v>81.111111111111114</v>
      </c>
      <c r="F15" s="41">
        <f>'[1]quarterly Progress report'!J59</f>
        <v>27.037037037037038</v>
      </c>
    </row>
    <row r="16" spans="2:6">
      <c r="B16" s="38">
        <v>9</v>
      </c>
      <c r="C16" s="19" t="s">
        <v>204</v>
      </c>
      <c r="D16" s="38">
        <f>'[1]quarterly Progress report'!H103</f>
        <v>22</v>
      </c>
      <c r="E16" s="38">
        <f>'[1]quarterly Progress report'!I103</f>
        <v>44</v>
      </c>
      <c r="F16" s="38">
        <f>'[1]quarterly Progress report'!J103</f>
        <v>44</v>
      </c>
    </row>
    <row r="17" spans="2:6">
      <c r="B17" s="38">
        <v>10</v>
      </c>
      <c r="C17" s="19" t="s">
        <v>205</v>
      </c>
      <c r="D17" s="38">
        <f>'[1]quarterly Progress report'!H104</f>
        <v>10</v>
      </c>
      <c r="E17" s="38" t="e">
        <f>'[1]quarterly Progress report'!I104</f>
        <v>#DIV/0!</v>
      </c>
      <c r="F17" s="38">
        <f>'[1]quarterly Progress report'!J104</f>
        <v>100</v>
      </c>
    </row>
    <row r="18" spans="2:6" ht="25.5">
      <c r="B18" s="38">
        <v>11</v>
      </c>
      <c r="C18" s="39" t="s">
        <v>148</v>
      </c>
      <c r="D18" s="38">
        <f>'[1]quarterly Progress report'!H74</f>
        <v>6.77</v>
      </c>
      <c r="E18" s="41">
        <f>'[1]quarterly Progress report'!I74</f>
        <v>42.3125</v>
      </c>
      <c r="F18" s="41">
        <f>'[1]quarterly Progress report'!J74</f>
        <v>42.3125</v>
      </c>
    </row>
    <row r="19" spans="2:6" ht="25.5">
      <c r="B19" s="38">
        <v>12</v>
      </c>
      <c r="C19" s="39" t="s">
        <v>42</v>
      </c>
      <c r="D19" s="38" t="s">
        <v>236</v>
      </c>
      <c r="E19" s="38" t="s">
        <v>236</v>
      </c>
      <c r="F19" s="38" t="s">
        <v>236</v>
      </c>
    </row>
  </sheetData>
  <printOptions horizontalCentered="1"/>
  <pageMargins left="0.17" right="0.1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12" zoomScaleNormal="112" workbookViewId="0">
      <selection activeCell="G3" sqref="G3"/>
    </sheetView>
  </sheetViews>
  <sheetFormatPr defaultRowHeight="15"/>
  <cols>
    <col min="1" max="1" width="26.7109375" style="60" customWidth="1"/>
    <col min="2" max="2" width="17.85546875" style="60" customWidth="1"/>
    <col min="3" max="3" width="16.28515625" style="60" bestFit="1" customWidth="1"/>
    <col min="4" max="5" width="19.5703125" style="60" customWidth="1"/>
    <col min="6" max="6" width="16.42578125" style="60" customWidth="1"/>
    <col min="7" max="7" width="19.85546875" style="60" customWidth="1"/>
    <col min="8" max="8" width="20.7109375" style="60" customWidth="1"/>
    <col min="9" max="9" width="22.5703125" style="60" customWidth="1"/>
    <col min="10" max="16384" width="9.140625" style="60"/>
  </cols>
  <sheetData>
    <row r="1" spans="1:9" ht="18.75" customHeight="1"/>
    <row r="2" spans="1:9" ht="29.25" customHeight="1">
      <c r="A2" s="74" t="s">
        <v>249</v>
      </c>
      <c r="B2" s="74"/>
      <c r="C2" s="74"/>
      <c r="D2" s="74"/>
      <c r="E2" s="74"/>
      <c r="F2" s="74"/>
      <c r="G2" s="74"/>
      <c r="H2" s="74"/>
      <c r="I2" s="74"/>
    </row>
    <row r="3" spans="1:9" ht="49.5" customHeight="1">
      <c r="A3" s="61"/>
      <c r="B3" s="62" t="s">
        <v>246</v>
      </c>
      <c r="C3" s="62" t="s">
        <v>247</v>
      </c>
      <c r="D3" s="62" t="s">
        <v>250</v>
      </c>
      <c r="E3" s="62" t="s">
        <v>248</v>
      </c>
      <c r="F3" s="62" t="s">
        <v>251</v>
      </c>
      <c r="G3" s="62" t="s">
        <v>252</v>
      </c>
      <c r="H3" s="62" t="s">
        <v>253</v>
      </c>
      <c r="I3" s="62" t="s">
        <v>254</v>
      </c>
    </row>
    <row r="4" spans="1:9" ht="24.95" customHeight="1">
      <c r="A4" s="61" t="s">
        <v>209</v>
      </c>
      <c r="B4" s="63">
        <f>8055830</f>
        <v>8055830</v>
      </c>
      <c r="C4" s="63">
        <f>5100056.07+892883.68+1632610</f>
        <v>7625549.75</v>
      </c>
      <c r="D4" s="63">
        <f>B4-C4</f>
        <v>430280.25</v>
      </c>
      <c r="E4" s="63">
        <v>0</v>
      </c>
      <c r="F4" s="63">
        <f>D4</f>
        <v>430280.25</v>
      </c>
      <c r="G4" s="63">
        <v>0</v>
      </c>
      <c r="H4" s="63">
        <v>333025</v>
      </c>
      <c r="I4" s="63">
        <f>F4+G4-H4</f>
        <v>97255.25</v>
      </c>
    </row>
    <row r="5" spans="1:9" ht="24.95" customHeight="1">
      <c r="A5" s="61" t="s">
        <v>210</v>
      </c>
      <c r="B5" s="63">
        <v>1611200</v>
      </c>
      <c r="C5" s="63">
        <v>0</v>
      </c>
      <c r="D5" s="63">
        <f>B5-C5</f>
        <v>1611200</v>
      </c>
      <c r="E5" s="63">
        <v>0</v>
      </c>
      <c r="F5" s="63">
        <f>D5</f>
        <v>1611200</v>
      </c>
      <c r="G5" s="63">
        <v>0</v>
      </c>
      <c r="H5" s="63">
        <v>0</v>
      </c>
      <c r="I5" s="63">
        <f>F5+G5-H5</f>
        <v>1611200</v>
      </c>
    </row>
    <row r="6" spans="1:9" ht="24.95" customHeight="1">
      <c r="A6" s="61" t="s">
        <v>211</v>
      </c>
      <c r="B6" s="63">
        <v>0</v>
      </c>
      <c r="C6" s="63"/>
      <c r="D6" s="63">
        <f>B6-C6</f>
        <v>0</v>
      </c>
      <c r="E6" s="63"/>
      <c r="F6" s="63">
        <f>D6</f>
        <v>0</v>
      </c>
      <c r="G6" s="63"/>
      <c r="H6" s="63"/>
      <c r="I6" s="63">
        <f>F6+G6-H6</f>
        <v>0</v>
      </c>
    </row>
    <row r="7" spans="1:9" ht="24.95" customHeight="1">
      <c r="A7" s="61" t="s">
        <v>212</v>
      </c>
      <c r="B7" s="63">
        <v>0</v>
      </c>
      <c r="C7" s="63"/>
      <c r="D7" s="63">
        <f>B7-C7</f>
        <v>0</v>
      </c>
      <c r="E7" s="63"/>
      <c r="F7" s="63">
        <f>D7</f>
        <v>0</v>
      </c>
      <c r="G7" s="63"/>
      <c r="H7" s="63"/>
      <c r="I7" s="63">
        <f>F7+G7-H7</f>
        <v>0</v>
      </c>
    </row>
    <row r="8" spans="1:9" ht="24.95" customHeight="1">
      <c r="A8" s="61" t="s">
        <v>213</v>
      </c>
      <c r="B8" s="63">
        <f>122517.85+45314.83+31004.83</f>
        <v>198837.51</v>
      </c>
      <c r="C8" s="63">
        <v>0</v>
      </c>
      <c r="D8" s="63">
        <f>B8-C8</f>
        <v>198837.51</v>
      </c>
      <c r="E8" s="63"/>
      <c r="F8" s="63">
        <f>D8</f>
        <v>198837.51</v>
      </c>
      <c r="G8" s="63">
        <v>21774.75</v>
      </c>
      <c r="H8" s="63">
        <v>0</v>
      </c>
      <c r="I8" s="63">
        <f>F8+G8-H8</f>
        <v>220612.26</v>
      </c>
    </row>
    <row r="9" spans="1:9" ht="24.95" customHeight="1">
      <c r="A9" s="61" t="s">
        <v>112</v>
      </c>
      <c r="B9" s="63">
        <f>SUM(B4:B8)</f>
        <v>9865867.5099999998</v>
      </c>
      <c r="C9" s="63">
        <f t="shared" ref="C9:I9" si="0">SUM(C4:C8)</f>
        <v>7625549.75</v>
      </c>
      <c r="D9" s="63">
        <f t="shared" si="0"/>
        <v>2240317.7599999998</v>
      </c>
      <c r="E9" s="63">
        <f t="shared" si="0"/>
        <v>0</v>
      </c>
      <c r="F9" s="63">
        <f t="shared" si="0"/>
        <v>2240317.7599999998</v>
      </c>
      <c r="G9" s="63">
        <f t="shared" si="0"/>
        <v>21774.75</v>
      </c>
      <c r="H9" s="63">
        <f t="shared" si="0"/>
        <v>333025</v>
      </c>
      <c r="I9" s="63">
        <f t="shared" si="0"/>
        <v>1929067.51</v>
      </c>
    </row>
    <row r="10" spans="1:9" ht="24.95" customHeight="1">
      <c r="A10" s="61"/>
      <c r="B10" s="63"/>
      <c r="C10" s="63"/>
      <c r="D10" s="63"/>
      <c r="E10" s="63"/>
      <c r="F10" s="63"/>
      <c r="G10" s="63"/>
      <c r="H10" s="63"/>
      <c r="I10" s="63"/>
    </row>
    <row r="12" spans="1:9">
      <c r="C12" s="64"/>
    </row>
    <row r="13" spans="1:9">
      <c r="C13" s="64"/>
    </row>
    <row r="14" spans="1:9">
      <c r="H14" s="65"/>
    </row>
    <row r="15" spans="1:9">
      <c r="E15" s="66"/>
      <c r="F15" s="66"/>
      <c r="G15" s="64"/>
      <c r="H15" s="67"/>
    </row>
    <row r="16" spans="1:9">
      <c r="D16" s="64"/>
      <c r="E16" s="66"/>
      <c r="F16" s="66"/>
      <c r="G16" s="66"/>
      <c r="H16" s="67"/>
    </row>
    <row r="17" spans="4:9">
      <c r="D17" s="64"/>
      <c r="E17" s="66"/>
      <c r="F17" s="66"/>
      <c r="G17" s="66"/>
      <c r="H17" s="67"/>
    </row>
    <row r="18" spans="4:9">
      <c r="E18" s="66"/>
      <c r="H18" s="67"/>
      <c r="I18" s="64"/>
    </row>
    <row r="19" spans="4:9">
      <c r="H19" s="67"/>
    </row>
    <row r="20" spans="4:9">
      <c r="H20" s="65"/>
    </row>
    <row r="21" spans="4:9">
      <c r="E21" s="64"/>
      <c r="F21" s="64"/>
      <c r="G21" s="64"/>
    </row>
  </sheetData>
  <mergeCells count="1">
    <mergeCell ref="A2:I2"/>
  </mergeCells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80" zoomScaleNormal="80" workbookViewId="0">
      <pane xSplit="2" ySplit="3" topLeftCell="C19" activePane="bottomRight" state="frozen"/>
      <selection activeCell="K15" sqref="K15"/>
      <selection pane="topRight" activeCell="K15" sqref="K15"/>
      <selection pane="bottomLeft" activeCell="K15" sqref="K15"/>
      <selection pane="bottomRight" sqref="A1:J59"/>
    </sheetView>
  </sheetViews>
  <sheetFormatPr defaultRowHeight="12.75"/>
  <cols>
    <col min="1" max="1" width="6.42578125" style="5" bestFit="1" customWidth="1"/>
    <col min="2" max="2" width="25.85546875" style="5" customWidth="1"/>
    <col min="3" max="3" width="22.28515625" style="5" bestFit="1" customWidth="1"/>
    <col min="4" max="4" width="15.42578125" style="5" bestFit="1" customWidth="1"/>
    <col min="5" max="5" width="13.5703125" style="5" bestFit="1" customWidth="1"/>
    <col min="6" max="6" width="22" style="5" customWidth="1"/>
    <col min="7" max="7" width="18.7109375" style="5" customWidth="1"/>
    <col min="8" max="8" width="13.140625" style="5" bestFit="1" customWidth="1"/>
    <col min="9" max="9" width="13.85546875" style="5" customWidth="1"/>
    <col min="10" max="10" width="12.85546875" style="5" customWidth="1"/>
    <col min="11" max="16384" width="9.140625" style="5"/>
  </cols>
  <sheetData>
    <row r="1" spans="1:10" ht="15.75" customHeight="1">
      <c r="A1" s="78" t="s">
        <v>54</v>
      </c>
      <c r="B1" s="78" t="s">
        <v>55</v>
      </c>
      <c r="C1" s="77" t="s">
        <v>100</v>
      </c>
      <c r="D1" s="77" t="s">
        <v>103</v>
      </c>
      <c r="E1" s="77" t="s">
        <v>227</v>
      </c>
      <c r="F1" s="77" t="s">
        <v>101</v>
      </c>
      <c r="G1" s="75" t="s">
        <v>104</v>
      </c>
      <c r="H1" s="77" t="s">
        <v>228</v>
      </c>
      <c r="I1" s="77" t="s">
        <v>105</v>
      </c>
      <c r="J1" s="77" t="s">
        <v>102</v>
      </c>
    </row>
    <row r="2" spans="1:10" ht="117.75" customHeight="1">
      <c r="A2" s="78"/>
      <c r="B2" s="78"/>
      <c r="C2" s="77"/>
      <c r="D2" s="77"/>
      <c r="E2" s="77"/>
      <c r="F2" s="77"/>
      <c r="G2" s="76"/>
      <c r="H2" s="77"/>
      <c r="I2" s="77"/>
      <c r="J2" s="77"/>
    </row>
    <row r="3" spans="1:10" ht="13.5">
      <c r="A3" s="21">
        <v>1</v>
      </c>
      <c r="B3" s="22" t="s">
        <v>56</v>
      </c>
      <c r="C3" s="6">
        <f>SUM(C4:C9)</f>
        <v>113500</v>
      </c>
      <c r="D3" s="6">
        <f>SUM(D4:D9)</f>
        <v>105500</v>
      </c>
      <c r="E3" s="6"/>
      <c r="F3" s="6">
        <f>SUM(F4:F9)</f>
        <v>8000</v>
      </c>
      <c r="G3" s="6">
        <f>SUM(G4:G9)</f>
        <v>0</v>
      </c>
      <c r="H3" s="7">
        <f>IF(F3=0,"-",G3/F3*100)</f>
        <v>0</v>
      </c>
      <c r="I3" s="6">
        <f>SUM(I4:I9)</f>
        <v>8000</v>
      </c>
      <c r="J3" s="8">
        <f t="shared" ref="J3:J58" si="0">IF(C3=0, "-", I3/C3*100)</f>
        <v>7.0484581497797363</v>
      </c>
    </row>
    <row r="4" spans="1:10">
      <c r="A4" s="21">
        <v>1.1000000000000001</v>
      </c>
      <c r="B4" s="23" t="s">
        <v>57</v>
      </c>
      <c r="C4" s="9">
        <v>3500</v>
      </c>
      <c r="D4" s="9">
        <v>0</v>
      </c>
      <c r="E4" s="9">
        <f>D4/C4*100</f>
        <v>0</v>
      </c>
      <c r="F4" s="9">
        <f t="shared" ref="F4:F9" si="1">C4-D4</f>
        <v>3500</v>
      </c>
      <c r="G4" s="9"/>
      <c r="H4" s="10">
        <f t="shared" ref="H4:H58" si="2">IF(F4=0,"-",G4/F4*100)</f>
        <v>0</v>
      </c>
      <c r="I4" s="9">
        <f>F4-G4</f>
        <v>3500</v>
      </c>
      <c r="J4" s="11">
        <f t="shared" si="0"/>
        <v>100</v>
      </c>
    </row>
    <row r="5" spans="1:10">
      <c r="A5" s="21">
        <v>1.2</v>
      </c>
      <c r="B5" s="23" t="s">
        <v>58</v>
      </c>
      <c r="C5" s="9">
        <v>5000</v>
      </c>
      <c r="D5" s="9">
        <v>5500</v>
      </c>
      <c r="E5" s="9">
        <f>D5/C5*100</f>
        <v>110.00000000000001</v>
      </c>
      <c r="F5" s="9">
        <f t="shared" si="1"/>
        <v>-500</v>
      </c>
      <c r="G5" s="9"/>
      <c r="H5" s="10">
        <f t="shared" si="2"/>
        <v>0</v>
      </c>
      <c r="I5" s="9">
        <f t="shared" ref="I5:I14" si="3">F5-G5</f>
        <v>-500</v>
      </c>
      <c r="J5" s="11">
        <f t="shared" si="0"/>
        <v>-10</v>
      </c>
    </row>
    <row r="6" spans="1:10" ht="25.5">
      <c r="A6" s="21">
        <v>1.3</v>
      </c>
      <c r="B6" s="23" t="s">
        <v>59</v>
      </c>
      <c r="C6" s="9">
        <v>5000</v>
      </c>
      <c r="D6" s="9">
        <v>0</v>
      </c>
      <c r="E6" s="9">
        <f>D6/C6*100</f>
        <v>0</v>
      </c>
      <c r="F6" s="9">
        <f t="shared" si="1"/>
        <v>5000</v>
      </c>
      <c r="G6" s="9"/>
      <c r="H6" s="10">
        <f t="shared" si="2"/>
        <v>0</v>
      </c>
      <c r="I6" s="9">
        <f t="shared" si="3"/>
        <v>5000</v>
      </c>
      <c r="J6" s="11">
        <f t="shared" si="0"/>
        <v>100</v>
      </c>
    </row>
    <row r="7" spans="1:10">
      <c r="A7" s="21">
        <v>1.4</v>
      </c>
      <c r="B7" s="23" t="s">
        <v>60</v>
      </c>
      <c r="C7" s="9">
        <v>100000</v>
      </c>
      <c r="D7" s="9">
        <f>70000+30000</f>
        <v>100000</v>
      </c>
      <c r="E7" s="9">
        <v>0</v>
      </c>
      <c r="F7" s="9">
        <f t="shared" si="1"/>
        <v>0</v>
      </c>
      <c r="G7" s="9">
        <v>0</v>
      </c>
      <c r="H7" s="11" t="str">
        <f t="shared" si="2"/>
        <v>-</v>
      </c>
      <c r="I7" s="9">
        <f t="shared" si="3"/>
        <v>0</v>
      </c>
      <c r="J7" s="11">
        <f t="shared" si="0"/>
        <v>0</v>
      </c>
    </row>
    <row r="8" spans="1:10">
      <c r="A8" s="21">
        <v>1.5</v>
      </c>
      <c r="B8" s="23" t="s">
        <v>61</v>
      </c>
      <c r="C8" s="9">
        <v>0</v>
      </c>
      <c r="D8" s="9">
        <v>0</v>
      </c>
      <c r="E8" s="9">
        <v>0</v>
      </c>
      <c r="F8" s="9">
        <f t="shared" si="1"/>
        <v>0</v>
      </c>
      <c r="G8" s="9"/>
      <c r="H8" s="11" t="str">
        <f t="shared" si="2"/>
        <v>-</v>
      </c>
      <c r="I8" s="9">
        <f t="shared" si="3"/>
        <v>0</v>
      </c>
      <c r="J8" s="11" t="str">
        <f t="shared" si="0"/>
        <v>-</v>
      </c>
    </row>
    <row r="9" spans="1:10">
      <c r="A9" s="21">
        <v>1.6</v>
      </c>
      <c r="B9" s="23" t="s">
        <v>62</v>
      </c>
      <c r="C9" s="9">
        <v>0</v>
      </c>
      <c r="D9" s="9">
        <v>0</v>
      </c>
      <c r="E9" s="9">
        <v>0</v>
      </c>
      <c r="F9" s="9">
        <f t="shared" si="1"/>
        <v>0</v>
      </c>
      <c r="G9" s="9">
        <v>0</v>
      </c>
      <c r="H9" s="11" t="str">
        <f t="shared" si="2"/>
        <v>-</v>
      </c>
      <c r="I9" s="9"/>
      <c r="J9" s="11" t="str">
        <f t="shared" si="0"/>
        <v>-</v>
      </c>
    </row>
    <row r="10" spans="1:10" ht="13.5">
      <c r="A10" s="24">
        <v>2</v>
      </c>
      <c r="B10" s="25" t="s">
        <v>63</v>
      </c>
      <c r="C10" s="6">
        <f>SUM(C11:C15)</f>
        <v>1308400</v>
      </c>
      <c r="D10" s="6">
        <f>SUM(D11:D15)</f>
        <v>728710</v>
      </c>
      <c r="E10" s="6"/>
      <c r="F10" s="6">
        <f>SUM(F11:F15)</f>
        <v>579690</v>
      </c>
      <c r="G10" s="6">
        <f>SUM(G11:G15)</f>
        <v>30650</v>
      </c>
      <c r="H10" s="7">
        <f t="shared" si="2"/>
        <v>5.2873087339785059</v>
      </c>
      <c r="I10" s="6">
        <f>SUM(I11:I15)</f>
        <v>549040</v>
      </c>
      <c r="J10" s="8">
        <f t="shared" si="0"/>
        <v>41.962702537450319</v>
      </c>
    </row>
    <row r="11" spans="1:10" ht="25.5">
      <c r="A11" s="26">
        <v>2.1</v>
      </c>
      <c r="B11" s="23" t="s">
        <v>64</v>
      </c>
      <c r="C11" s="9">
        <v>350400</v>
      </c>
      <c r="D11" s="9">
        <f>221760+11700+26355</f>
        <v>259815</v>
      </c>
      <c r="E11" s="9">
        <f>D11/C11*100</f>
        <v>74.148116438356155</v>
      </c>
      <c r="F11" s="9">
        <f>C11-D11</f>
        <v>90585</v>
      </c>
      <c r="G11" s="9">
        <v>30650</v>
      </c>
      <c r="H11" s="11">
        <f t="shared" si="2"/>
        <v>33.835623999558429</v>
      </c>
      <c r="I11" s="9">
        <f t="shared" si="3"/>
        <v>59935</v>
      </c>
      <c r="J11" s="11">
        <f t="shared" si="0"/>
        <v>17.104737442922374</v>
      </c>
    </row>
    <row r="12" spans="1:10" ht="25.5">
      <c r="A12" s="27">
        <v>2.2000000000000002</v>
      </c>
      <c r="B12" s="23" t="s">
        <v>65</v>
      </c>
      <c r="C12" s="9">
        <v>0</v>
      </c>
      <c r="D12" s="9">
        <v>0</v>
      </c>
      <c r="E12" s="9">
        <v>0</v>
      </c>
      <c r="F12" s="9">
        <f>C12-D12</f>
        <v>0</v>
      </c>
      <c r="G12" s="9"/>
      <c r="H12" s="11" t="str">
        <f t="shared" si="2"/>
        <v>-</v>
      </c>
      <c r="I12" s="9">
        <f t="shared" si="3"/>
        <v>0</v>
      </c>
      <c r="J12" s="11" t="str">
        <f t="shared" si="0"/>
        <v>-</v>
      </c>
    </row>
    <row r="13" spans="1:10" ht="25.5">
      <c r="A13" s="28">
        <v>2.2999999999999998</v>
      </c>
      <c r="B13" s="23" t="s">
        <v>66</v>
      </c>
      <c r="C13" s="9">
        <v>958000</v>
      </c>
      <c r="D13" s="9">
        <f>333222+46780+88893</f>
        <v>468895</v>
      </c>
      <c r="E13" s="9">
        <f>D13/C13*100</f>
        <v>48.945198329853859</v>
      </c>
      <c r="F13" s="9">
        <f>C13-D13</f>
        <v>489105</v>
      </c>
      <c r="G13" s="9">
        <v>0</v>
      </c>
      <c r="H13" s="11">
        <f t="shared" si="2"/>
        <v>0</v>
      </c>
      <c r="I13" s="9">
        <f t="shared" si="3"/>
        <v>489105</v>
      </c>
      <c r="J13" s="11">
        <f t="shared" si="0"/>
        <v>51.054801670146134</v>
      </c>
    </row>
    <row r="14" spans="1:10">
      <c r="A14" s="21">
        <v>2.4</v>
      </c>
      <c r="B14" s="23" t="s">
        <v>61</v>
      </c>
      <c r="C14" s="9">
        <v>0</v>
      </c>
      <c r="D14" s="9">
        <v>0</v>
      </c>
      <c r="E14" s="9">
        <v>0</v>
      </c>
      <c r="F14" s="9">
        <f>C14-D14</f>
        <v>0</v>
      </c>
      <c r="G14" s="9"/>
      <c r="H14" s="11" t="str">
        <f t="shared" si="2"/>
        <v>-</v>
      </c>
      <c r="I14" s="9">
        <f t="shared" si="3"/>
        <v>0</v>
      </c>
      <c r="J14" s="11" t="str">
        <f t="shared" si="0"/>
        <v>-</v>
      </c>
    </row>
    <row r="15" spans="1:10">
      <c r="A15" s="28">
        <v>2.5</v>
      </c>
      <c r="B15" s="23" t="s">
        <v>62</v>
      </c>
      <c r="C15" s="9">
        <v>0</v>
      </c>
      <c r="D15" s="9">
        <v>0</v>
      </c>
      <c r="E15" s="9">
        <v>0</v>
      </c>
      <c r="F15" s="9">
        <f>C15-D15</f>
        <v>0</v>
      </c>
      <c r="G15" s="9"/>
      <c r="H15" s="11" t="str">
        <f t="shared" si="2"/>
        <v>-</v>
      </c>
      <c r="I15" s="9"/>
      <c r="J15" s="11" t="str">
        <f t="shared" si="0"/>
        <v>-</v>
      </c>
    </row>
    <row r="16" spans="1:10" ht="13.5">
      <c r="A16" s="29">
        <v>3</v>
      </c>
      <c r="B16" s="25" t="s">
        <v>67</v>
      </c>
      <c r="C16" s="6">
        <f>SUM(C17:C30)</f>
        <v>4337400</v>
      </c>
      <c r="D16" s="6">
        <f>SUM(D17:D30)</f>
        <v>2114211</v>
      </c>
      <c r="E16" s="6"/>
      <c r="F16" s="6">
        <f>SUM(F17:F30)</f>
        <v>2223189</v>
      </c>
      <c r="G16" s="6">
        <f>SUM(G17:G30)</f>
        <v>249687</v>
      </c>
      <c r="H16" s="7">
        <f t="shared" si="2"/>
        <v>11.231028940859279</v>
      </c>
      <c r="I16" s="6">
        <f>SUM(I17:I30)</f>
        <v>1973502</v>
      </c>
      <c r="J16" s="8">
        <f t="shared" si="0"/>
        <v>45.499654170701341</v>
      </c>
    </row>
    <row r="17" spans="1:10" ht="25.5">
      <c r="A17" s="28">
        <v>3.1</v>
      </c>
      <c r="B17" s="30" t="s">
        <v>68</v>
      </c>
      <c r="C17" s="9">
        <v>25000</v>
      </c>
      <c r="D17" s="9">
        <v>11250</v>
      </c>
      <c r="E17" s="9">
        <f t="shared" ref="E17:E28" si="4">D17/C17*100</f>
        <v>45</v>
      </c>
      <c r="F17" s="9">
        <f t="shared" ref="F17:F29" si="5">C17-D17</f>
        <v>13750</v>
      </c>
      <c r="G17" s="9">
        <v>0</v>
      </c>
      <c r="H17" s="11">
        <f t="shared" si="2"/>
        <v>0</v>
      </c>
      <c r="I17" s="9">
        <f t="shared" ref="I17:I29" si="6">F17-G17</f>
        <v>13750</v>
      </c>
      <c r="J17" s="11">
        <f t="shared" si="0"/>
        <v>55.000000000000007</v>
      </c>
    </row>
    <row r="18" spans="1:10" ht="25.5">
      <c r="A18" s="28">
        <v>3.2</v>
      </c>
      <c r="B18" s="30" t="s">
        <v>69</v>
      </c>
      <c r="C18" s="9">
        <v>25000</v>
      </c>
      <c r="D18" s="9">
        <v>0</v>
      </c>
      <c r="E18" s="9">
        <f t="shared" si="4"/>
        <v>0</v>
      </c>
      <c r="F18" s="9">
        <f t="shared" si="5"/>
        <v>25000</v>
      </c>
      <c r="G18" s="9">
        <v>0</v>
      </c>
      <c r="H18" s="11">
        <f t="shared" si="2"/>
        <v>0</v>
      </c>
      <c r="I18" s="9">
        <f t="shared" si="6"/>
        <v>25000</v>
      </c>
      <c r="J18" s="11">
        <f t="shared" si="0"/>
        <v>100</v>
      </c>
    </row>
    <row r="19" spans="1:10">
      <c r="A19" s="28">
        <v>3.3</v>
      </c>
      <c r="B19" s="30" t="s">
        <v>70</v>
      </c>
      <c r="C19" s="9">
        <v>75000</v>
      </c>
      <c r="D19" s="9">
        <f>32820+2025+1200</f>
        <v>36045</v>
      </c>
      <c r="E19" s="9">
        <f t="shared" si="4"/>
        <v>48.06</v>
      </c>
      <c r="F19" s="9">
        <f t="shared" si="5"/>
        <v>38955</v>
      </c>
      <c r="G19" s="9">
        <v>0</v>
      </c>
      <c r="H19" s="11">
        <f t="shared" si="2"/>
        <v>0</v>
      </c>
      <c r="I19" s="9">
        <f t="shared" si="6"/>
        <v>38955</v>
      </c>
      <c r="J19" s="11">
        <f t="shared" si="0"/>
        <v>51.94</v>
      </c>
    </row>
    <row r="20" spans="1:10">
      <c r="A20" s="28">
        <v>3.4</v>
      </c>
      <c r="B20" s="30" t="s">
        <v>71</v>
      </c>
      <c r="C20" s="9">
        <f>72000+48000</f>
        <v>120000</v>
      </c>
      <c r="D20" s="9">
        <f>35686+5270+7450</f>
        <v>48406</v>
      </c>
      <c r="E20" s="9">
        <f t="shared" si="4"/>
        <v>40.338333333333331</v>
      </c>
      <c r="F20" s="9">
        <f t="shared" si="5"/>
        <v>71594</v>
      </c>
      <c r="G20" s="9">
        <v>6930</v>
      </c>
      <c r="H20" s="11">
        <f t="shared" si="2"/>
        <v>9.6795820878844605</v>
      </c>
      <c r="I20" s="9">
        <f t="shared" si="6"/>
        <v>64664</v>
      </c>
      <c r="J20" s="11">
        <f t="shared" si="0"/>
        <v>53.88666666666667</v>
      </c>
    </row>
    <row r="21" spans="1:10">
      <c r="A21" s="28">
        <v>3.5</v>
      </c>
      <c r="B21" s="30" t="s">
        <v>72</v>
      </c>
      <c r="C21" s="9">
        <f>122400+61200</f>
        <v>183600</v>
      </c>
      <c r="D21" s="9">
        <f>22805+435+3880</f>
        <v>27120</v>
      </c>
      <c r="E21" s="9">
        <f t="shared" si="4"/>
        <v>14.77124183006536</v>
      </c>
      <c r="F21" s="9">
        <f t="shared" si="5"/>
        <v>156480</v>
      </c>
      <c r="G21" s="9">
        <v>23200</v>
      </c>
      <c r="H21" s="11">
        <f t="shared" si="2"/>
        <v>14.826175869120656</v>
      </c>
      <c r="I21" s="9">
        <f t="shared" si="6"/>
        <v>133280</v>
      </c>
      <c r="J21" s="11">
        <f t="shared" si="0"/>
        <v>72.592592592592595</v>
      </c>
    </row>
    <row r="22" spans="1:10">
      <c r="A22" s="28">
        <v>3.6</v>
      </c>
      <c r="B22" s="30" t="s">
        <v>73</v>
      </c>
      <c r="C22" s="9">
        <f>1536300+798100</f>
        <v>2334400</v>
      </c>
      <c r="D22" s="9">
        <f>385227+294944+324301</f>
        <v>1004472</v>
      </c>
      <c r="E22" s="9">
        <f t="shared" si="4"/>
        <v>43.029129540781355</v>
      </c>
      <c r="F22" s="9">
        <f t="shared" si="5"/>
        <v>1329928</v>
      </c>
      <c r="G22" s="9">
        <v>120807</v>
      </c>
      <c r="H22" s="11">
        <f t="shared" si="2"/>
        <v>9.0837248332240534</v>
      </c>
      <c r="I22" s="9">
        <f t="shared" si="6"/>
        <v>1209121</v>
      </c>
      <c r="J22" s="11">
        <f t="shared" si="0"/>
        <v>51.795793351610698</v>
      </c>
    </row>
    <row r="23" spans="1:10">
      <c r="A23" s="28">
        <v>3.7</v>
      </c>
      <c r="B23" s="30" t="s">
        <v>74</v>
      </c>
      <c r="C23" s="9">
        <f>11400+7600</f>
        <v>19000</v>
      </c>
      <c r="D23" s="9">
        <f>600+5680</f>
        <v>6280</v>
      </c>
      <c r="E23" s="9">
        <f t="shared" si="4"/>
        <v>33.05263157894737</v>
      </c>
      <c r="F23" s="9">
        <f t="shared" si="5"/>
        <v>12720</v>
      </c>
      <c r="G23" s="9">
        <v>0</v>
      </c>
      <c r="H23" s="11">
        <f t="shared" si="2"/>
        <v>0</v>
      </c>
      <c r="I23" s="9">
        <f t="shared" si="6"/>
        <v>12720</v>
      </c>
      <c r="J23" s="11">
        <f t="shared" si="0"/>
        <v>66.94736842105263</v>
      </c>
    </row>
    <row r="24" spans="1:10" ht="25.5">
      <c r="A24" s="28">
        <v>3.8</v>
      </c>
      <c r="B24" s="30" t="s">
        <v>75</v>
      </c>
      <c r="C24" s="9">
        <v>21000</v>
      </c>
      <c r="D24" s="9">
        <v>7370</v>
      </c>
      <c r="E24" s="9">
        <f t="shared" si="4"/>
        <v>35.095238095238095</v>
      </c>
      <c r="F24" s="9">
        <f t="shared" si="5"/>
        <v>13630</v>
      </c>
      <c r="G24" s="9">
        <v>0</v>
      </c>
      <c r="H24" s="11">
        <f t="shared" si="2"/>
        <v>0</v>
      </c>
      <c r="I24" s="9">
        <f t="shared" si="6"/>
        <v>13630</v>
      </c>
      <c r="J24" s="11">
        <f t="shared" si="0"/>
        <v>64.904761904761912</v>
      </c>
    </row>
    <row r="25" spans="1:10" ht="25.5">
      <c r="A25" s="28">
        <v>3.9</v>
      </c>
      <c r="B25" s="30" t="s">
        <v>76</v>
      </c>
      <c r="C25" s="9">
        <v>11200</v>
      </c>
      <c r="D25" s="9">
        <v>7268</v>
      </c>
      <c r="E25" s="9">
        <f t="shared" si="4"/>
        <v>64.892857142857139</v>
      </c>
      <c r="F25" s="9">
        <f t="shared" si="5"/>
        <v>3932</v>
      </c>
      <c r="G25" s="9">
        <v>0</v>
      </c>
      <c r="H25" s="11">
        <f t="shared" si="2"/>
        <v>0</v>
      </c>
      <c r="I25" s="9">
        <f t="shared" si="6"/>
        <v>3932</v>
      </c>
      <c r="J25" s="11">
        <f t="shared" si="0"/>
        <v>35.107142857142861</v>
      </c>
    </row>
    <row r="26" spans="1:10" ht="25.5">
      <c r="A26" s="31">
        <v>3.1</v>
      </c>
      <c r="B26" s="30" t="s">
        <v>77</v>
      </c>
      <c r="C26" s="9">
        <v>40000</v>
      </c>
      <c r="D26" s="9">
        <v>40000</v>
      </c>
      <c r="E26" s="9">
        <f t="shared" si="4"/>
        <v>100</v>
      </c>
      <c r="F26" s="9">
        <f t="shared" si="5"/>
        <v>0</v>
      </c>
      <c r="G26" s="9">
        <v>0</v>
      </c>
      <c r="H26" s="11" t="str">
        <f t="shared" si="2"/>
        <v>-</v>
      </c>
      <c r="I26" s="9">
        <f t="shared" si="6"/>
        <v>0</v>
      </c>
      <c r="J26" s="11">
        <f t="shared" si="0"/>
        <v>0</v>
      </c>
    </row>
    <row r="27" spans="1:10" ht="38.25">
      <c r="A27" s="31">
        <v>3.11</v>
      </c>
      <c r="B27" s="30" t="s">
        <v>78</v>
      </c>
      <c r="C27" s="9">
        <f>630000+450000</f>
        <v>1080000</v>
      </c>
      <c r="D27" s="9">
        <f>474250+81750+84000</f>
        <v>640000</v>
      </c>
      <c r="E27" s="9">
        <f t="shared" si="4"/>
        <v>59.259259259259252</v>
      </c>
      <c r="F27" s="9">
        <f t="shared" si="5"/>
        <v>440000</v>
      </c>
      <c r="G27" s="9">
        <v>80950</v>
      </c>
      <c r="H27" s="11">
        <f t="shared" si="2"/>
        <v>18.397727272727273</v>
      </c>
      <c r="I27" s="9">
        <f t="shared" si="6"/>
        <v>359050</v>
      </c>
      <c r="J27" s="11">
        <f t="shared" si="0"/>
        <v>33.245370370370367</v>
      </c>
    </row>
    <row r="28" spans="1:10" ht="51">
      <c r="A28" s="31">
        <v>3.12</v>
      </c>
      <c r="B28" s="30" t="s">
        <v>79</v>
      </c>
      <c r="C28" s="9">
        <f>235200+168000</f>
        <v>403200</v>
      </c>
      <c r="D28" s="9">
        <f>200200+44400+41400</f>
        <v>286000</v>
      </c>
      <c r="E28" s="9">
        <f t="shared" si="4"/>
        <v>70.932539682539684</v>
      </c>
      <c r="F28" s="9">
        <f t="shared" si="5"/>
        <v>117200</v>
      </c>
      <c r="G28" s="9">
        <v>17800</v>
      </c>
      <c r="H28" s="11">
        <f t="shared" si="2"/>
        <v>15.187713310580206</v>
      </c>
      <c r="I28" s="9">
        <f t="shared" si="6"/>
        <v>99400</v>
      </c>
      <c r="J28" s="11">
        <f t="shared" si="0"/>
        <v>24.652777777777779</v>
      </c>
    </row>
    <row r="29" spans="1:10">
      <c r="A29" s="31">
        <v>3.13</v>
      </c>
      <c r="B29" s="23" t="s">
        <v>61</v>
      </c>
      <c r="C29" s="9">
        <v>0</v>
      </c>
      <c r="D29" s="9">
        <v>0</v>
      </c>
      <c r="E29" s="9"/>
      <c r="F29" s="9">
        <f t="shared" si="5"/>
        <v>0</v>
      </c>
      <c r="G29" s="9">
        <v>0</v>
      </c>
      <c r="H29" s="11" t="str">
        <f t="shared" si="2"/>
        <v>-</v>
      </c>
      <c r="I29" s="9">
        <f t="shared" si="6"/>
        <v>0</v>
      </c>
      <c r="J29" s="11" t="str">
        <f t="shared" si="0"/>
        <v>-</v>
      </c>
    </row>
    <row r="30" spans="1:10">
      <c r="A30" s="31">
        <v>3.14</v>
      </c>
      <c r="B30" s="23" t="s">
        <v>62</v>
      </c>
      <c r="C30" s="9">
        <v>0</v>
      </c>
      <c r="D30" s="9">
        <v>0</v>
      </c>
      <c r="E30" s="9"/>
      <c r="F30" s="9"/>
      <c r="G30" s="9">
        <v>0</v>
      </c>
      <c r="H30" s="11" t="str">
        <f t="shared" si="2"/>
        <v>-</v>
      </c>
      <c r="I30" s="9"/>
      <c r="J30" s="11" t="str">
        <f t="shared" si="0"/>
        <v>-</v>
      </c>
    </row>
    <row r="31" spans="1:10" ht="27">
      <c r="A31" s="32">
        <v>4</v>
      </c>
      <c r="B31" s="25" t="s">
        <v>80</v>
      </c>
      <c r="C31" s="6">
        <f>SUM(C32:C37)</f>
        <v>6308500</v>
      </c>
      <c r="D31" s="6">
        <f>SUM(D32:D37)</f>
        <v>4226186.3499999996</v>
      </c>
      <c r="E31" s="6"/>
      <c r="F31" s="6">
        <f>SUM(F32:F37)</f>
        <v>2082313.65</v>
      </c>
      <c r="G31" s="6">
        <f>SUM(G32:G37)</f>
        <v>7668</v>
      </c>
      <c r="H31" s="7">
        <f t="shared" si="2"/>
        <v>0.36824423640501996</v>
      </c>
      <c r="I31" s="6">
        <f>SUM(I32:I37)</f>
        <v>2074645.65</v>
      </c>
      <c r="J31" s="8">
        <f t="shared" si="0"/>
        <v>32.886512641673932</v>
      </c>
    </row>
    <row r="32" spans="1:10">
      <c r="A32" s="21">
        <v>4.0999999999999996</v>
      </c>
      <c r="B32" s="23" t="s">
        <v>81</v>
      </c>
      <c r="C32" s="9">
        <v>2100000</v>
      </c>
      <c r="D32" s="9">
        <f>927058+104892+128200</f>
        <v>1160150</v>
      </c>
      <c r="E32" s="9">
        <f>D32/C32*100</f>
        <v>55.245238095238093</v>
      </c>
      <c r="F32" s="9">
        <f>C32-D32</f>
        <v>939850</v>
      </c>
      <c r="G32" s="9">
        <v>5200</v>
      </c>
      <c r="H32" s="11">
        <f t="shared" si="2"/>
        <v>0.55327977868808853</v>
      </c>
      <c r="I32" s="9">
        <f>F32-G32</f>
        <v>934650</v>
      </c>
      <c r="J32" s="11">
        <f t="shared" si="0"/>
        <v>44.507142857142853</v>
      </c>
    </row>
    <row r="33" spans="1:10" ht="25.5">
      <c r="A33" s="21">
        <v>4.2</v>
      </c>
      <c r="B33" s="23" t="s">
        <v>82</v>
      </c>
      <c r="C33" s="9">
        <v>2208500</v>
      </c>
      <c r="D33" s="9">
        <f>1628957.07+135164.28+282780</f>
        <v>2046901.35</v>
      </c>
      <c r="E33" s="9">
        <f>D33/C33*100</f>
        <v>92.682877518677842</v>
      </c>
      <c r="F33" s="9">
        <f>C33-D33</f>
        <v>161598.64999999991</v>
      </c>
      <c r="G33" s="9">
        <v>2468</v>
      </c>
      <c r="H33" s="11">
        <f t="shared" si="2"/>
        <v>1.5272404812787739</v>
      </c>
      <c r="I33" s="9">
        <f>F33-G33</f>
        <v>159130.64999999991</v>
      </c>
      <c r="J33" s="11">
        <f t="shared" si="0"/>
        <v>7.2053724247226585</v>
      </c>
    </row>
    <row r="34" spans="1:10" ht="38.25">
      <c r="A34" s="21">
        <v>4.3</v>
      </c>
      <c r="B34" s="23" t="s">
        <v>83</v>
      </c>
      <c r="C34" s="9">
        <v>0</v>
      </c>
      <c r="D34" s="9">
        <v>0</v>
      </c>
      <c r="E34" s="9"/>
      <c r="F34" s="9"/>
      <c r="G34" s="9">
        <v>0</v>
      </c>
      <c r="H34" s="11" t="str">
        <f t="shared" si="2"/>
        <v>-</v>
      </c>
      <c r="I34" s="9"/>
      <c r="J34" s="11" t="str">
        <f t="shared" si="0"/>
        <v>-</v>
      </c>
    </row>
    <row r="35" spans="1:10" ht="25.5">
      <c r="A35" s="21">
        <v>4.4000000000000004</v>
      </c>
      <c r="B35" s="30" t="s">
        <v>229</v>
      </c>
      <c r="C35" s="9">
        <v>1500000</v>
      </c>
      <c r="D35" s="9">
        <f>324400+19600+508195</f>
        <v>852195</v>
      </c>
      <c r="E35" s="9">
        <f>D35/C35*100</f>
        <v>56.813000000000002</v>
      </c>
      <c r="F35" s="9">
        <f>C35-D35</f>
        <v>647805</v>
      </c>
      <c r="G35" s="9">
        <v>0</v>
      </c>
      <c r="H35" s="11">
        <f t="shared" si="2"/>
        <v>0</v>
      </c>
      <c r="I35" s="9">
        <f>F35-G35</f>
        <v>647805</v>
      </c>
      <c r="J35" s="11">
        <f t="shared" si="0"/>
        <v>43.186999999999998</v>
      </c>
    </row>
    <row r="36" spans="1:10" ht="25.5">
      <c r="A36" s="21">
        <v>4.5</v>
      </c>
      <c r="B36" s="30" t="s">
        <v>230</v>
      </c>
      <c r="C36" s="9">
        <v>500000</v>
      </c>
      <c r="D36" s="9">
        <f>116940+50000</f>
        <v>166940</v>
      </c>
      <c r="E36" s="9">
        <f>D36/C36*100</f>
        <v>33.387999999999998</v>
      </c>
      <c r="F36" s="9">
        <f>C36-D36</f>
        <v>333060</v>
      </c>
      <c r="G36" s="9">
        <v>0</v>
      </c>
      <c r="H36" s="11">
        <f t="shared" si="2"/>
        <v>0</v>
      </c>
      <c r="I36" s="9">
        <f>F36-G36</f>
        <v>333060</v>
      </c>
      <c r="J36" s="11">
        <f t="shared" si="0"/>
        <v>66.612000000000009</v>
      </c>
    </row>
    <row r="37" spans="1:10">
      <c r="A37" s="21">
        <v>4.5999999999999996</v>
      </c>
      <c r="B37" s="23" t="s">
        <v>62</v>
      </c>
      <c r="C37" s="9"/>
      <c r="D37" s="9">
        <v>0</v>
      </c>
      <c r="E37" s="9"/>
      <c r="F37" s="9"/>
      <c r="G37" s="9"/>
      <c r="H37" s="11"/>
      <c r="I37" s="9"/>
      <c r="J37" s="11" t="str">
        <f t="shared" si="0"/>
        <v>-</v>
      </c>
    </row>
    <row r="38" spans="1:10" ht="13.5">
      <c r="A38" s="21">
        <v>5</v>
      </c>
      <c r="B38" s="33" t="s">
        <v>84</v>
      </c>
      <c r="C38" s="6">
        <f>SUM(C39:C43)</f>
        <v>33000</v>
      </c>
      <c r="D38" s="6">
        <f>SUM(D39:D43)</f>
        <v>4630</v>
      </c>
      <c r="E38" s="6">
        <f>D38/C38*100</f>
        <v>14.030303030303029</v>
      </c>
      <c r="F38" s="6">
        <f>SUM(F39:F43)</f>
        <v>28370</v>
      </c>
      <c r="G38" s="6">
        <f>SUM(G39:G43)</f>
        <v>0</v>
      </c>
      <c r="H38" s="7">
        <f t="shared" si="2"/>
        <v>0</v>
      </c>
      <c r="I38" s="6">
        <f>SUM(I39:I43)</f>
        <v>28370</v>
      </c>
      <c r="J38" s="8">
        <f t="shared" si="0"/>
        <v>85.969696969696969</v>
      </c>
    </row>
    <row r="39" spans="1:10">
      <c r="A39" s="21">
        <v>5.0999999999999996</v>
      </c>
      <c r="B39" s="23" t="s">
        <v>85</v>
      </c>
      <c r="C39" s="9">
        <f>2000+1000</f>
        <v>3000</v>
      </c>
      <c r="D39" s="9">
        <v>0</v>
      </c>
      <c r="E39" s="9">
        <f>D39/C39*100</f>
        <v>0</v>
      </c>
      <c r="F39" s="9">
        <f>C39-D39</f>
        <v>3000</v>
      </c>
      <c r="G39" s="9">
        <v>0</v>
      </c>
      <c r="H39" s="11">
        <f t="shared" si="2"/>
        <v>0</v>
      </c>
      <c r="I39" s="9">
        <f>F39-G39</f>
        <v>3000</v>
      </c>
      <c r="J39" s="11">
        <f t="shared" si="0"/>
        <v>100</v>
      </c>
    </row>
    <row r="40" spans="1:10" ht="25.5">
      <c r="A40" s="21">
        <v>5.2</v>
      </c>
      <c r="B40" s="23" t="s">
        <v>86</v>
      </c>
      <c r="C40" s="9">
        <f>10000+5000</f>
        <v>15000</v>
      </c>
      <c r="D40" s="9">
        <f>4000+630</f>
        <v>4630</v>
      </c>
      <c r="E40" s="9">
        <f>D40/C40*100</f>
        <v>30.866666666666664</v>
      </c>
      <c r="F40" s="9">
        <f>C40-D40</f>
        <v>10370</v>
      </c>
      <c r="G40" s="9">
        <v>0</v>
      </c>
      <c r="H40" s="11">
        <f t="shared" si="2"/>
        <v>0</v>
      </c>
      <c r="I40" s="9">
        <f>F40-G40</f>
        <v>10370</v>
      </c>
      <c r="J40" s="11">
        <f t="shared" si="0"/>
        <v>69.13333333333334</v>
      </c>
    </row>
    <row r="41" spans="1:10">
      <c r="A41" s="21">
        <v>5.3</v>
      </c>
      <c r="B41" s="23" t="s">
        <v>87</v>
      </c>
      <c r="C41" s="9">
        <f>10000+5000</f>
        <v>15000</v>
      </c>
      <c r="D41" s="9">
        <v>0</v>
      </c>
      <c r="E41" s="9">
        <f>D41/C41*100</f>
        <v>0</v>
      </c>
      <c r="F41" s="9">
        <f>C41-D41</f>
        <v>15000</v>
      </c>
      <c r="G41" s="9">
        <v>0</v>
      </c>
      <c r="H41" s="11">
        <f t="shared" si="2"/>
        <v>0</v>
      </c>
      <c r="I41" s="9">
        <f>F41-G41</f>
        <v>15000</v>
      </c>
      <c r="J41" s="11">
        <f t="shared" si="0"/>
        <v>100</v>
      </c>
    </row>
    <row r="42" spans="1:10">
      <c r="A42" s="21">
        <v>5.4</v>
      </c>
      <c r="B42" s="23" t="s">
        <v>61</v>
      </c>
      <c r="C42" s="9">
        <v>0</v>
      </c>
      <c r="D42" s="9">
        <v>0</v>
      </c>
      <c r="E42" s="9"/>
      <c r="F42" s="9">
        <f>C42-D42</f>
        <v>0</v>
      </c>
      <c r="G42" s="9">
        <v>0</v>
      </c>
      <c r="H42" s="11" t="str">
        <f t="shared" si="2"/>
        <v>-</v>
      </c>
      <c r="I42" s="9">
        <f>F42-G42</f>
        <v>0</v>
      </c>
      <c r="J42" s="11" t="str">
        <f t="shared" si="0"/>
        <v>-</v>
      </c>
    </row>
    <row r="43" spans="1:10">
      <c r="A43" s="21">
        <v>5.5</v>
      </c>
      <c r="B43" s="23" t="s">
        <v>62</v>
      </c>
      <c r="C43" s="9">
        <v>0</v>
      </c>
      <c r="D43" s="9">
        <v>0</v>
      </c>
      <c r="E43" s="9"/>
      <c r="F43" s="9"/>
      <c r="G43" s="9"/>
      <c r="H43" s="11" t="str">
        <f t="shared" si="2"/>
        <v>-</v>
      </c>
      <c r="I43" s="9"/>
      <c r="J43" s="11" t="str">
        <f t="shared" si="0"/>
        <v>-</v>
      </c>
    </row>
    <row r="44" spans="1:10" ht="13.5">
      <c r="A44" s="21">
        <v>6</v>
      </c>
      <c r="B44" s="33" t="s">
        <v>88</v>
      </c>
      <c r="C44" s="6">
        <f>SUM(C45:C51)</f>
        <v>147000</v>
      </c>
      <c r="D44" s="6">
        <f>SUM(D45:D51)</f>
        <v>50091</v>
      </c>
      <c r="E44" s="6">
        <f>D44/C44*100</f>
        <v>34.075510204081631</v>
      </c>
      <c r="F44" s="6">
        <f>SUM(F45:F51)</f>
        <v>96909</v>
      </c>
      <c r="G44" s="6">
        <f>SUM(G45:G51)</f>
        <v>26500</v>
      </c>
      <c r="H44" s="7">
        <f t="shared" si="2"/>
        <v>27.345241412046349</v>
      </c>
      <c r="I44" s="6">
        <f>SUM(I45:I51)</f>
        <v>70409</v>
      </c>
      <c r="J44" s="8">
        <f t="shared" si="0"/>
        <v>47.897278911564626</v>
      </c>
    </row>
    <row r="45" spans="1:10">
      <c r="A45" s="21">
        <v>6.1</v>
      </c>
      <c r="B45" s="23" t="s">
        <v>89</v>
      </c>
      <c r="C45" s="9">
        <v>35000</v>
      </c>
      <c r="D45" s="9">
        <f>17610+1350</f>
        <v>18960</v>
      </c>
      <c r="E45" s="9">
        <f>D45/C45*100</f>
        <v>54.171428571428571</v>
      </c>
      <c r="F45" s="9">
        <f t="shared" ref="F45:F50" si="7">C45-D45</f>
        <v>16040</v>
      </c>
      <c r="G45" s="9">
        <v>1000</v>
      </c>
      <c r="H45" s="11">
        <f t="shared" si="2"/>
        <v>6.2344139650872821</v>
      </c>
      <c r="I45" s="9">
        <f t="shared" ref="I45:I50" si="8">F45-G45</f>
        <v>15040</v>
      </c>
      <c r="J45" s="11">
        <f t="shared" si="0"/>
        <v>42.971428571428575</v>
      </c>
    </row>
    <row r="46" spans="1:10">
      <c r="A46" s="21">
        <v>6.2</v>
      </c>
      <c r="B46" s="23" t="s">
        <v>90</v>
      </c>
      <c r="C46" s="9">
        <v>14000</v>
      </c>
      <c r="D46" s="9">
        <v>0</v>
      </c>
      <c r="E46" s="9"/>
      <c r="F46" s="9">
        <f t="shared" si="7"/>
        <v>14000</v>
      </c>
      <c r="G46" s="9"/>
      <c r="H46" s="11">
        <f t="shared" si="2"/>
        <v>0</v>
      </c>
      <c r="I46" s="9">
        <f t="shared" si="8"/>
        <v>14000</v>
      </c>
      <c r="J46" s="11">
        <f t="shared" si="0"/>
        <v>100</v>
      </c>
    </row>
    <row r="47" spans="1:10">
      <c r="A47" s="21">
        <v>6.3</v>
      </c>
      <c r="B47" s="23" t="s">
        <v>91</v>
      </c>
      <c r="C47" s="9">
        <v>48000</v>
      </c>
      <c r="D47" s="9">
        <f>9259</f>
        <v>9259</v>
      </c>
      <c r="E47" s="9"/>
      <c r="F47" s="9">
        <f t="shared" si="7"/>
        <v>38741</v>
      </c>
      <c r="G47" s="9">
        <v>25500</v>
      </c>
      <c r="H47" s="11">
        <f t="shared" si="2"/>
        <v>65.821739242662815</v>
      </c>
      <c r="I47" s="9">
        <f t="shared" si="8"/>
        <v>13241</v>
      </c>
      <c r="J47" s="11">
        <f t="shared" si="0"/>
        <v>27.585416666666667</v>
      </c>
    </row>
    <row r="48" spans="1:10">
      <c r="A48" s="21">
        <v>6.4</v>
      </c>
      <c r="B48" s="23" t="s">
        <v>92</v>
      </c>
      <c r="C48" s="9">
        <v>40000</v>
      </c>
      <c r="D48" s="9">
        <f>4592+17280</f>
        <v>21872</v>
      </c>
      <c r="E48" s="9">
        <f>D48/C48*100</f>
        <v>54.679999999999993</v>
      </c>
      <c r="F48" s="9">
        <f t="shared" si="7"/>
        <v>18128</v>
      </c>
      <c r="G48" s="9">
        <v>0</v>
      </c>
      <c r="H48" s="11">
        <f t="shared" si="2"/>
        <v>0</v>
      </c>
      <c r="I48" s="9">
        <f t="shared" si="8"/>
        <v>18128</v>
      </c>
      <c r="J48" s="11">
        <f t="shared" si="0"/>
        <v>45.32</v>
      </c>
    </row>
    <row r="49" spans="1:10">
      <c r="A49" s="21">
        <v>6.5</v>
      </c>
      <c r="B49" s="23" t="s">
        <v>93</v>
      </c>
      <c r="C49" s="9">
        <f>6000+4000</f>
        <v>10000</v>
      </c>
      <c r="D49" s="9">
        <v>0</v>
      </c>
      <c r="E49" s="9">
        <f>D49/C49*100</f>
        <v>0</v>
      </c>
      <c r="F49" s="9">
        <f t="shared" si="7"/>
        <v>10000</v>
      </c>
      <c r="G49" s="9"/>
      <c r="H49" s="11">
        <f t="shared" si="2"/>
        <v>0</v>
      </c>
      <c r="I49" s="9">
        <f t="shared" si="8"/>
        <v>10000</v>
      </c>
      <c r="J49" s="11">
        <f t="shared" si="0"/>
        <v>100</v>
      </c>
    </row>
    <row r="50" spans="1:10">
      <c r="A50" s="21">
        <v>6.6</v>
      </c>
      <c r="B50" s="23" t="s">
        <v>61</v>
      </c>
      <c r="C50" s="9">
        <v>0</v>
      </c>
      <c r="D50" s="9">
        <v>0</v>
      </c>
      <c r="E50" s="9"/>
      <c r="F50" s="9">
        <f t="shared" si="7"/>
        <v>0</v>
      </c>
      <c r="G50" s="9"/>
      <c r="H50" s="11" t="str">
        <f t="shared" si="2"/>
        <v>-</v>
      </c>
      <c r="I50" s="9">
        <f t="shared" si="8"/>
        <v>0</v>
      </c>
      <c r="J50" s="11" t="str">
        <f t="shared" si="0"/>
        <v>-</v>
      </c>
    </row>
    <row r="51" spans="1:10">
      <c r="A51" s="21">
        <v>6.7</v>
      </c>
      <c r="B51" s="23" t="s">
        <v>62</v>
      </c>
      <c r="C51" s="9">
        <v>0</v>
      </c>
      <c r="D51" s="9">
        <v>0</v>
      </c>
      <c r="E51" s="9"/>
      <c r="F51" s="9"/>
      <c r="G51" s="9"/>
      <c r="H51" s="11" t="str">
        <f t="shared" si="2"/>
        <v>-</v>
      </c>
      <c r="I51" s="9"/>
      <c r="J51" s="11" t="str">
        <f t="shared" si="0"/>
        <v>-</v>
      </c>
    </row>
    <row r="52" spans="1:10" ht="40.5">
      <c r="A52" s="21">
        <v>7</v>
      </c>
      <c r="B52" s="33" t="s">
        <v>94</v>
      </c>
      <c r="C52" s="6">
        <f>SUM(C53:C58)</f>
        <v>648000</v>
      </c>
      <c r="D52" s="6">
        <f>SUM(D53:D58)</f>
        <v>396221.4</v>
      </c>
      <c r="E52" s="6"/>
      <c r="F52" s="6">
        <f>SUM(F53:F58)</f>
        <v>251778.6</v>
      </c>
      <c r="G52" s="6">
        <f>SUM(G53:G58)</f>
        <v>18520</v>
      </c>
      <c r="H52" s="7">
        <f t="shared" si="2"/>
        <v>7.3556688296781374</v>
      </c>
      <c r="I52" s="6">
        <f>SUM(I53:I58)</f>
        <v>233258.6</v>
      </c>
      <c r="J52" s="8">
        <f t="shared" si="0"/>
        <v>35.996697530864196</v>
      </c>
    </row>
    <row r="53" spans="1:10">
      <c r="A53" s="21">
        <v>7.1</v>
      </c>
      <c r="B53" s="30" t="s">
        <v>95</v>
      </c>
      <c r="C53" s="9">
        <f>192000+96000</f>
        <v>288000</v>
      </c>
      <c r="D53" s="9">
        <f>152000+24000+24000</f>
        <v>200000</v>
      </c>
      <c r="E53" s="9">
        <f>D53/C53*100</f>
        <v>69.444444444444443</v>
      </c>
      <c r="F53" s="9">
        <f>C53-D53</f>
        <v>88000</v>
      </c>
      <c r="G53" s="9">
        <v>0</v>
      </c>
      <c r="H53" s="11">
        <f t="shared" si="2"/>
        <v>0</v>
      </c>
      <c r="I53" s="9">
        <f>F53-G53</f>
        <v>88000</v>
      </c>
      <c r="J53" s="11">
        <f t="shared" si="0"/>
        <v>30.555555555555557</v>
      </c>
    </row>
    <row r="54" spans="1:10">
      <c r="A54" s="21">
        <v>7.2</v>
      </c>
      <c r="B54" s="23" t="s">
        <v>96</v>
      </c>
      <c r="C54" s="9">
        <f>84000+42000</f>
        <v>126000</v>
      </c>
      <c r="D54" s="9">
        <f>56258+12668.4+8166</f>
        <v>77092.399999999994</v>
      </c>
      <c r="E54" s="9">
        <f>D54/C54*100</f>
        <v>61.184444444444438</v>
      </c>
      <c r="F54" s="9">
        <f>C54-D54</f>
        <v>48907.600000000006</v>
      </c>
      <c r="G54" s="9">
        <v>7415</v>
      </c>
      <c r="H54" s="11">
        <f t="shared" si="2"/>
        <v>15.161242833424659</v>
      </c>
      <c r="I54" s="9">
        <f>F54-G54</f>
        <v>41492.600000000006</v>
      </c>
      <c r="J54" s="11">
        <f t="shared" si="0"/>
        <v>32.93063492063493</v>
      </c>
    </row>
    <row r="55" spans="1:10">
      <c r="A55" s="21">
        <v>7.3</v>
      </c>
      <c r="B55" s="30" t="s">
        <v>97</v>
      </c>
      <c r="C55" s="9">
        <f>48000+24000</f>
        <v>72000</v>
      </c>
      <c r="D55" s="9">
        <f>24095+3560+4556</f>
        <v>32211</v>
      </c>
      <c r="E55" s="9">
        <f>D55/C55*100</f>
        <v>44.737500000000004</v>
      </c>
      <c r="F55" s="9">
        <f>C55-D55</f>
        <v>39789</v>
      </c>
      <c r="G55" s="9">
        <v>2830</v>
      </c>
      <c r="H55" s="11">
        <f t="shared" si="2"/>
        <v>7.1125185352735683</v>
      </c>
      <c r="I55" s="9">
        <f>F55-G55</f>
        <v>36959</v>
      </c>
      <c r="J55" s="11">
        <f t="shared" si="0"/>
        <v>51.331944444444446</v>
      </c>
    </row>
    <row r="56" spans="1:10">
      <c r="A56" s="21">
        <v>7.4</v>
      </c>
      <c r="B56" s="30" t="s">
        <v>98</v>
      </c>
      <c r="C56" s="9">
        <f>48000+24000</f>
        <v>72000</v>
      </c>
      <c r="D56" s="9">
        <f>16188+3255+2475</f>
        <v>21918</v>
      </c>
      <c r="E56" s="9">
        <f>D56/C56*100</f>
        <v>30.441666666666666</v>
      </c>
      <c r="F56" s="9">
        <f>C56-D56</f>
        <v>50082</v>
      </c>
      <c r="G56" s="9">
        <v>3275</v>
      </c>
      <c r="H56" s="11">
        <f t="shared" si="2"/>
        <v>6.5392755880356219</v>
      </c>
      <c r="I56" s="9">
        <f>F56-G56</f>
        <v>46807</v>
      </c>
      <c r="J56" s="11">
        <f t="shared" si="0"/>
        <v>65.009722222222223</v>
      </c>
    </row>
    <row r="57" spans="1:10">
      <c r="A57" s="21">
        <v>7.5</v>
      </c>
      <c r="B57" s="30" t="s">
        <v>231</v>
      </c>
      <c r="C57" s="9">
        <f>60000+30000</f>
        <v>90000</v>
      </c>
      <c r="D57" s="9">
        <f>50000+7500+7500</f>
        <v>65000</v>
      </c>
      <c r="E57" s="9">
        <f>D57/C57*100</f>
        <v>72.222222222222214</v>
      </c>
      <c r="F57" s="9">
        <f>C57-D57</f>
        <v>25000</v>
      </c>
      <c r="G57" s="9">
        <v>5000</v>
      </c>
      <c r="H57" s="11">
        <f t="shared" si="2"/>
        <v>20</v>
      </c>
      <c r="I57" s="9">
        <f>F57-G57</f>
        <v>20000</v>
      </c>
      <c r="J57" s="11">
        <f t="shared" si="0"/>
        <v>22.222222222222221</v>
      </c>
    </row>
    <row r="58" spans="1:10">
      <c r="A58" s="21">
        <v>7.6</v>
      </c>
      <c r="B58" s="23" t="s">
        <v>62</v>
      </c>
      <c r="C58" s="9">
        <v>0</v>
      </c>
      <c r="D58" s="9">
        <v>0</v>
      </c>
      <c r="E58" s="9"/>
      <c r="F58" s="9"/>
      <c r="G58" s="9"/>
      <c r="H58" s="11" t="str">
        <f t="shared" si="2"/>
        <v>-</v>
      </c>
      <c r="I58" s="9"/>
      <c r="J58" s="11" t="str">
        <f t="shared" si="0"/>
        <v>-</v>
      </c>
    </row>
    <row r="59" spans="1:10">
      <c r="A59" s="21">
        <v>8</v>
      </c>
      <c r="B59" s="34" t="s">
        <v>99</v>
      </c>
      <c r="C59" s="6">
        <f>C52+C44+C38+C31+C16+C10+C3</f>
        <v>12895800</v>
      </c>
      <c r="D59" s="6">
        <f>D52+D44+D38+D31+D16+D10+D3</f>
        <v>7625549.75</v>
      </c>
      <c r="E59" s="6"/>
      <c r="F59" s="6">
        <f>F52+F44+F38+F31+F16+F10+F3</f>
        <v>5270250.25</v>
      </c>
      <c r="G59" s="6">
        <f>G52+G44+G38+G31+G16+G10+G3</f>
        <v>333025</v>
      </c>
      <c r="H59" s="7">
        <f>H52+H44+H38+H31+H16+H10+H3</f>
        <v>51.587492152967286</v>
      </c>
      <c r="I59" s="6">
        <f>I52+I44+I38+I31+I16+I10+I3</f>
        <v>4937225.25</v>
      </c>
      <c r="J59" s="8"/>
    </row>
    <row r="65" spans="6:6">
      <c r="F65" s="12"/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quarterly Progress report</vt:lpstr>
      <vt:lpstr>Summary Physical-no Fill</vt:lpstr>
      <vt:lpstr>Summary Financial</vt:lpstr>
      <vt:lpstr>Quaterly Fin.Review Details</vt:lpstr>
      <vt:lpstr>'quarterly Progress report'!Print_Area</vt:lpstr>
      <vt:lpstr>'Quaterly Fin.Review Details'!Print_Area</vt:lpstr>
      <vt:lpstr>'Summary Physical-no Fill'!Print_Area</vt:lpstr>
      <vt:lpstr>'quarterly Progress report'!Print_Titles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GAUTAM</cp:lastModifiedBy>
  <cp:lastPrinted>2016-10-06T06:22:37Z</cp:lastPrinted>
  <dcterms:created xsi:type="dcterms:W3CDTF">2011-05-06T01:28:55Z</dcterms:created>
  <dcterms:modified xsi:type="dcterms:W3CDTF">2016-10-06T06:30:05Z</dcterms:modified>
</cp:coreProperties>
</file>